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132" documentId="13_ncr:1_{42D0E4E2-0383-4E4D-8670-7A204B1A81C2}" xr6:coauthVersionLast="47" xr6:coauthVersionMax="47" xr10:uidLastSave="{3B70478A-2253-4462-B4A9-3245A2FD0A60}"/>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31" r:id="rId11"/>
    <sheet name="11" sheetId="32" r:id="rId12"/>
    <sheet name="12" sheetId="33" r:id="rId13"/>
    <sheet name="13" sheetId="34" r:id="rId14"/>
    <sheet name="14" sheetId="35" r:id="rId15"/>
    <sheet name="15" sheetId="37" r:id="rId16"/>
    <sheet name="16" sheetId="38" r:id="rId17"/>
    <sheet name="17" sheetId="39" r:id="rId18"/>
    <sheet name="18" sheetId="40" r:id="rId19"/>
    <sheet name="19" sheetId="41" r:id="rId20"/>
    <sheet name="20" sheetId="42" r:id="rId21"/>
    <sheet name="21" sheetId="43" r:id="rId22"/>
    <sheet name="22" sheetId="44" r:id="rId23"/>
    <sheet name="23" sheetId="45" r:id="rId24"/>
    <sheet name="24" sheetId="46" r:id="rId25"/>
    <sheet name="25" sheetId="47" r:id="rId26"/>
    <sheet name="26" sheetId="48" r:id="rId27"/>
    <sheet name="27" sheetId="49" r:id="rId28"/>
    <sheet name="28" sheetId="50" r:id="rId29"/>
    <sheet name="29" sheetId="51" r:id="rId30"/>
    <sheet name="30" sheetId="68" r:id="rId31"/>
    <sheet name="31" sheetId="69" r:id="rId32"/>
    <sheet name="32" sheetId="70" r:id="rId33"/>
    <sheet name="33" sheetId="71" r:id="rId34"/>
    <sheet name="34" sheetId="72" r:id="rId35"/>
    <sheet name="35" sheetId="73" r:id="rId36"/>
    <sheet name="36" sheetId="74" r:id="rId37"/>
    <sheet name="37" sheetId="75" r:id="rId38"/>
    <sheet name="38" sheetId="76" r:id="rId39"/>
    <sheet name="39" sheetId="77" r:id="rId40"/>
    <sheet name="40" sheetId="78" r:id="rId41"/>
    <sheet name="41" sheetId="79" r:id="rId42"/>
    <sheet name="42" sheetId="80" r:id="rId43"/>
    <sheet name="43" sheetId="81" r:id="rId44"/>
    <sheet name="44" sheetId="82" r:id="rId45"/>
    <sheet name="45" sheetId="83" r:id="rId46"/>
    <sheet name="46" sheetId="84" r:id="rId47"/>
    <sheet name="47" sheetId="85" r:id="rId48"/>
    <sheet name="48" sheetId="86" r:id="rId49"/>
    <sheet name="49" sheetId="87" r:id="rId50"/>
    <sheet name="50" sheetId="88" r:id="rId51"/>
    <sheet name="51" sheetId="89" r:id="rId52"/>
    <sheet name="52" sheetId="90" r:id="rId53"/>
    <sheet name="53" sheetId="91" r:id="rId54"/>
    <sheet name="54" sheetId="92" r:id="rId55"/>
    <sheet name="55" sheetId="93" r:id="rId56"/>
    <sheet name="56" sheetId="94" r:id="rId57"/>
    <sheet name="57" sheetId="95" r:id="rId58"/>
    <sheet name="58" sheetId="96" r:id="rId59"/>
    <sheet name="59" sheetId="97" r:id="rId60"/>
    <sheet name="Prislistetillæg" sheetId="4" r:id="rId61"/>
  </sheets>
  <externalReferences>
    <externalReference r:id="rId62"/>
  </externalReferences>
  <definedNames>
    <definedName name="OpdateretÅrstal">'Samle ark'!$K$7</definedName>
    <definedName name="Produktionsår">'1'!$D$3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K7" i="1"/>
  <c r="I9" i="5" l="1"/>
  <c r="I9" i="18"/>
  <c r="I9" i="19"/>
  <c r="I9" i="20"/>
  <c r="I9" i="27"/>
  <c r="I9" i="28"/>
  <c r="I9" i="29"/>
  <c r="I9" i="30"/>
  <c r="I9" i="31"/>
  <c r="I9" i="32"/>
  <c r="I9" i="33"/>
  <c r="I9" i="34"/>
  <c r="I9" i="35"/>
  <c r="I9" i="37"/>
  <c r="I9" i="38"/>
  <c r="I9" i="39"/>
  <c r="I9" i="40"/>
  <c r="I9" i="41"/>
  <c r="I9" i="42"/>
  <c r="I9" i="43"/>
  <c r="I9" i="44"/>
  <c r="I9" i="45"/>
  <c r="I9" i="46"/>
  <c r="I9" i="47"/>
  <c r="I9" i="48"/>
  <c r="I9" i="49"/>
  <c r="I9" i="50"/>
  <c r="I9" i="51"/>
  <c r="I9" i="68"/>
  <c r="I9" i="69"/>
  <c r="I9" i="70"/>
  <c r="I9" i="71"/>
  <c r="I9" i="72"/>
  <c r="I9" i="73"/>
  <c r="I9" i="74"/>
  <c r="I9" i="75"/>
  <c r="I9" i="76"/>
  <c r="I9" i="77"/>
  <c r="I9" i="78"/>
  <c r="I9" i="79"/>
  <c r="I9" i="80"/>
  <c r="I9" i="81"/>
  <c r="I9" i="82"/>
  <c r="I9" i="83"/>
  <c r="I9" i="84"/>
  <c r="I9" i="85"/>
  <c r="I9" i="86"/>
  <c r="I9" i="87"/>
  <c r="I9" i="88"/>
  <c r="I9" i="89"/>
  <c r="I9" i="90"/>
  <c r="I9" i="91"/>
  <c r="I9" i="92"/>
  <c r="I9" i="93"/>
  <c r="I9" i="94"/>
  <c r="I9" i="95"/>
  <c r="I9" i="96"/>
  <c r="I9" i="97"/>
  <c r="I9" i="3"/>
  <c r="K18" i="5" l="1"/>
  <c r="K18" i="18"/>
  <c r="K18" i="19"/>
  <c r="K18" i="20"/>
  <c r="K18" i="27"/>
  <c r="K18" i="28"/>
  <c r="K18" i="29"/>
  <c r="K18" i="30"/>
  <c r="K18" i="31"/>
  <c r="K18" i="32"/>
  <c r="K18" i="33"/>
  <c r="K18" i="34"/>
  <c r="K18" i="37"/>
  <c r="K18" i="38"/>
  <c r="K18" i="39"/>
  <c r="K18" i="40"/>
  <c r="K18" i="41"/>
  <c r="K18" i="42"/>
  <c r="K18" i="43"/>
  <c r="K18" i="44"/>
  <c r="K18" i="45"/>
  <c r="K18" i="46"/>
  <c r="K18" i="47"/>
  <c r="K18" i="48"/>
  <c r="K18" i="49"/>
  <c r="K18" i="68"/>
  <c r="K18" i="69"/>
  <c r="K18" i="70"/>
  <c r="K18" i="71"/>
  <c r="K18" i="72"/>
  <c r="K18" i="73"/>
  <c r="K18" i="74"/>
  <c r="K18" i="75"/>
  <c r="K18" i="76"/>
  <c r="K18" i="77"/>
  <c r="K18" i="78"/>
  <c r="K18" i="79"/>
  <c r="K25" i="5"/>
  <c r="K25" i="18"/>
  <c r="K25" i="27"/>
  <c r="K17" i="27"/>
  <c r="K25" i="28"/>
  <c r="K25" i="29"/>
  <c r="K25" i="32"/>
  <c r="K17" i="32"/>
  <c r="K25" i="33"/>
  <c r="K25" i="34"/>
  <c r="K25" i="37"/>
  <c r="K17" i="37"/>
  <c r="K25" i="38"/>
  <c r="K25" i="39"/>
  <c r="K25" i="42"/>
  <c r="K17" i="42"/>
  <c r="K25" i="43"/>
  <c r="K25" i="44"/>
  <c r="K25" i="47"/>
  <c r="K17" i="47"/>
  <c r="K25" i="48"/>
  <c r="K25" i="49"/>
  <c r="K25" i="68"/>
  <c r="K17" i="68"/>
  <c r="K25" i="69"/>
  <c r="K25" i="70"/>
  <c r="K25" i="73"/>
  <c r="K17" i="73"/>
  <c r="K25" i="74"/>
  <c r="K25" i="75"/>
  <c r="K25" i="78"/>
  <c r="K17" i="78"/>
  <c r="K25" i="79"/>
  <c r="K25" i="80"/>
  <c r="K24" i="5"/>
  <c r="K24" i="18"/>
  <c r="K24" i="19"/>
  <c r="K24" i="27"/>
  <c r="K24" i="28"/>
  <c r="K24" i="29"/>
  <c r="K24" i="30"/>
  <c r="K24" i="32"/>
  <c r="K24" i="33"/>
  <c r="K24" i="34"/>
  <c r="K24" i="35"/>
  <c r="K24" i="37"/>
  <c r="K24" i="38"/>
  <c r="K24" i="39"/>
  <c r="K24" i="40"/>
  <c r="K24" i="42"/>
  <c r="K24" i="43"/>
  <c r="K24" i="44"/>
  <c r="K24" i="45"/>
  <c r="K24" i="47"/>
  <c r="K24" i="48"/>
  <c r="K24" i="49"/>
  <c r="K24" i="50"/>
  <c r="K24" i="68"/>
  <c r="K24" i="69"/>
  <c r="K24" i="70"/>
  <c r="K24" i="71"/>
  <c r="K24" i="73"/>
  <c r="K24" i="74"/>
  <c r="K24" i="75"/>
  <c r="K24" i="76"/>
  <c r="K24" i="78"/>
  <c r="K24" i="79"/>
  <c r="K24" i="80"/>
  <c r="K24" i="81"/>
  <c r="K23" i="5"/>
  <c r="K23" i="18"/>
  <c r="K23" i="27"/>
  <c r="K23" i="28"/>
  <c r="K23" i="29"/>
  <c r="K23" i="32"/>
  <c r="K23" i="33"/>
  <c r="K23" i="34"/>
  <c r="K23" i="37"/>
  <c r="K23" i="38"/>
  <c r="K23" i="39"/>
  <c r="K23" i="42"/>
  <c r="K23" i="43"/>
  <c r="K23" i="44"/>
  <c r="K23" i="47"/>
  <c r="K23" i="48"/>
  <c r="K23" i="49"/>
  <c r="K23" i="68"/>
  <c r="K23" i="69"/>
  <c r="K23" i="70"/>
  <c r="K23" i="73"/>
  <c r="K23" i="74"/>
  <c r="K23" i="75"/>
  <c r="K23" i="78"/>
  <c r="K23" i="79"/>
  <c r="K23" i="80"/>
  <c r="K22" i="5"/>
  <c r="K22" i="18"/>
  <c r="K22" i="27"/>
  <c r="K22" i="28"/>
  <c r="K22" i="29"/>
  <c r="K22" i="32"/>
  <c r="K22" i="33"/>
  <c r="K22" i="34"/>
  <c r="K22" i="37"/>
  <c r="K22" i="38"/>
  <c r="K22" i="39"/>
  <c r="K22" i="42"/>
  <c r="K22" i="43"/>
  <c r="K22" i="44"/>
  <c r="K21" i="27"/>
  <c r="K21" i="32"/>
  <c r="K21" i="37"/>
  <c r="K21" i="42"/>
  <c r="K21" i="47"/>
  <c r="K21" i="68"/>
  <c r="K21" i="73"/>
  <c r="K21" i="78"/>
  <c r="K20" i="27"/>
  <c r="K20" i="32"/>
  <c r="K20" i="37"/>
  <c r="K20" i="42"/>
  <c r="K20" i="47"/>
  <c r="K20" i="68"/>
  <c r="K20" i="73"/>
  <c r="K20" i="78"/>
  <c r="K21" i="83"/>
  <c r="K21" i="88"/>
  <c r="K21" i="93"/>
  <c r="K21" i="3"/>
  <c r="K9" i="20"/>
  <c r="K9" i="34"/>
  <c r="K9" i="43"/>
  <c r="K9" i="51"/>
  <c r="K9" i="75"/>
  <c r="K9" i="83"/>
  <c r="K9" i="91"/>
  <c r="K20" i="3"/>
  <c r="K9" i="27"/>
  <c r="K9" i="44"/>
  <c r="K9" i="68"/>
  <c r="K9" i="76"/>
  <c r="K9" i="92"/>
  <c r="K9" i="69"/>
  <c r="K9" i="85"/>
  <c r="K9" i="30"/>
  <c r="K9" i="71"/>
  <c r="K9" i="95"/>
  <c r="K22" i="47"/>
  <c r="K22" i="49"/>
  <c r="K22" i="69"/>
  <c r="K22" i="73"/>
  <c r="K22" i="75"/>
  <c r="K22" i="79"/>
  <c r="K20" i="83"/>
  <c r="K20" i="88"/>
  <c r="K20" i="93"/>
  <c r="K9" i="35"/>
  <c r="K9" i="84"/>
  <c r="K9" i="39"/>
  <c r="K9" i="28"/>
  <c r="K9" i="37"/>
  <c r="K9" i="77"/>
  <c r="K18" i="83"/>
  <c r="K18" i="84"/>
  <c r="K18" i="85"/>
  <c r="K18" i="86"/>
  <c r="K18" i="87"/>
  <c r="K18" i="88"/>
  <c r="K18" i="89"/>
  <c r="K18" i="90"/>
  <c r="K18" i="91"/>
  <c r="K18" i="92"/>
  <c r="K18" i="93"/>
  <c r="K18" i="94"/>
  <c r="K18" i="95"/>
  <c r="K18" i="3"/>
  <c r="K9" i="29"/>
  <c r="K9" i="38"/>
  <c r="K9" i="46"/>
  <c r="K9" i="70"/>
  <c r="K9" i="78"/>
  <c r="K9" i="86"/>
  <c r="K9" i="94"/>
  <c r="K25" i="3"/>
  <c r="K9" i="87"/>
  <c r="K25" i="83"/>
  <c r="K17" i="83"/>
  <c r="K25" i="84"/>
  <c r="K25" i="85"/>
  <c r="K25" i="88"/>
  <c r="K17" i="88"/>
  <c r="K25" i="89"/>
  <c r="K25" i="90"/>
  <c r="K25" i="93"/>
  <c r="K17" i="93"/>
  <c r="K25" i="94"/>
  <c r="K25" i="95"/>
  <c r="K17" i="3"/>
  <c r="K9" i="47"/>
  <c r="K23" i="83"/>
  <c r="K23" i="84"/>
  <c r="K23" i="85"/>
  <c r="K23" i="88"/>
  <c r="K23" i="89"/>
  <c r="K23" i="90"/>
  <c r="K23" i="93"/>
  <c r="K23" i="94"/>
  <c r="K23" i="95"/>
  <c r="K23" i="3"/>
  <c r="K18" i="80"/>
  <c r="K22" i="83"/>
  <c r="K22" i="84"/>
  <c r="K22" i="85"/>
  <c r="K22" i="88"/>
  <c r="K22" i="89"/>
  <c r="K22" i="90"/>
  <c r="K22" i="93"/>
  <c r="K22" i="94"/>
  <c r="K22" i="95"/>
  <c r="K22" i="3"/>
  <c r="K9" i="19"/>
  <c r="K9" i="33"/>
  <c r="K9" i="42"/>
  <c r="K9" i="50"/>
  <c r="K9" i="74"/>
  <c r="K9" i="82"/>
  <c r="K9" i="90"/>
  <c r="K9" i="3"/>
  <c r="K9" i="45"/>
  <c r="K9" i="93"/>
  <c r="K9" i="79"/>
  <c r="K22" i="68"/>
  <c r="K9" i="5"/>
  <c r="K9" i="72"/>
  <c r="K9" i="73"/>
  <c r="K24" i="89"/>
  <c r="K9" i="41"/>
  <c r="K24" i="3"/>
  <c r="K22" i="70"/>
  <c r="K24" i="83"/>
  <c r="K24" i="91"/>
  <c r="K24" i="95"/>
  <c r="K9" i="18"/>
  <c r="K9" i="81"/>
  <c r="K22" i="78"/>
  <c r="K9" i="97"/>
  <c r="K9" i="31"/>
  <c r="K9" i="80"/>
  <c r="K24" i="96"/>
  <c r="K9" i="32"/>
  <c r="K9" i="88"/>
  <c r="K24" i="93"/>
  <c r="K9" i="89"/>
  <c r="K24" i="86"/>
  <c r="K22" i="74"/>
  <c r="K24" i="84"/>
  <c r="K24" i="88"/>
  <c r="K9" i="40"/>
  <c r="K24" i="85"/>
  <c r="K24" i="90"/>
  <c r="K22" i="48"/>
  <c r="K22" i="80"/>
  <c r="K9" i="48"/>
  <c r="K9" i="96"/>
  <c r="K18" i="81"/>
  <c r="K9" i="49"/>
  <c r="K24" i="94"/>
  <c r="J17" i="97"/>
  <c r="K17" i="97" s="1"/>
  <c r="J18" i="81"/>
  <c r="J25" i="97" l="1"/>
  <c r="K25" i="97" s="1"/>
  <c r="J23" i="97"/>
  <c r="K23" i="97" s="1"/>
  <c r="J22" i="97"/>
  <c r="K22" i="97" s="1"/>
  <c r="J21" i="97"/>
  <c r="K21" i="97" s="1"/>
  <c r="J20" i="97"/>
  <c r="K20" i="97" s="1"/>
  <c r="J18" i="97"/>
  <c r="K18" i="97" s="1"/>
  <c r="J16" i="97"/>
  <c r="K16" i="97" s="1"/>
  <c r="J15" i="97"/>
  <c r="K15" i="97" s="1"/>
  <c r="J14" i="97"/>
  <c r="K14" i="97" s="1"/>
  <c r="J13" i="97"/>
  <c r="K13" i="97" s="1"/>
  <c r="J12" i="97"/>
  <c r="K12" i="97" s="1"/>
  <c r="J11" i="97"/>
  <c r="K11" i="97" s="1"/>
  <c r="J25" i="96"/>
  <c r="K25" i="96" s="1"/>
  <c r="J23" i="96"/>
  <c r="K23" i="96" s="1"/>
  <c r="J22" i="96"/>
  <c r="K22" i="96" s="1"/>
  <c r="J21" i="96"/>
  <c r="K21" i="96" s="1"/>
  <c r="J20" i="96"/>
  <c r="K20" i="96" s="1"/>
  <c r="J18" i="96"/>
  <c r="K18" i="96" s="1"/>
  <c r="J17" i="96"/>
  <c r="K17" i="96" s="1"/>
  <c r="J16" i="96"/>
  <c r="K16" i="96" s="1"/>
  <c r="J15" i="96"/>
  <c r="K15" i="96" s="1"/>
  <c r="J14" i="96"/>
  <c r="K14" i="96" s="1"/>
  <c r="J13" i="96"/>
  <c r="K13" i="96" s="1"/>
  <c r="J12" i="96"/>
  <c r="K12" i="96" s="1"/>
  <c r="J11" i="96"/>
  <c r="K11" i="96" s="1"/>
  <c r="J21" i="95"/>
  <c r="K21" i="95" s="1"/>
  <c r="J20" i="95"/>
  <c r="K20" i="95" s="1"/>
  <c r="J19" i="95"/>
  <c r="K19" i="95" s="1"/>
  <c r="J17" i="95"/>
  <c r="K17" i="95" s="1"/>
  <c r="J16" i="95"/>
  <c r="K16" i="95" s="1"/>
  <c r="J15" i="95"/>
  <c r="K15" i="95" s="1"/>
  <c r="J14" i="95"/>
  <c r="K14" i="95" s="1"/>
  <c r="J13" i="95"/>
  <c r="K13" i="95" s="1"/>
  <c r="J12" i="95"/>
  <c r="K12" i="95" s="1"/>
  <c r="J11" i="95"/>
  <c r="K11" i="95" s="1"/>
  <c r="J21" i="94"/>
  <c r="K21" i="94" s="1"/>
  <c r="J20" i="94"/>
  <c r="K20" i="94" s="1"/>
  <c r="J19" i="94"/>
  <c r="K19" i="94" s="1"/>
  <c r="J17" i="94"/>
  <c r="K17" i="94" s="1"/>
  <c r="J16" i="94"/>
  <c r="K16" i="94" s="1"/>
  <c r="J15" i="94"/>
  <c r="K15" i="94" s="1"/>
  <c r="J14" i="94"/>
  <c r="K14" i="94" s="1"/>
  <c r="J13" i="94"/>
  <c r="K13" i="94" s="1"/>
  <c r="J12" i="94"/>
  <c r="K12" i="94" s="1"/>
  <c r="J11" i="94"/>
  <c r="K11" i="94" s="1"/>
  <c r="J19" i="93"/>
  <c r="K19" i="93" s="1"/>
  <c r="J16" i="93"/>
  <c r="K16" i="93" s="1"/>
  <c r="J15" i="93"/>
  <c r="K15" i="93" s="1"/>
  <c r="J14" i="93"/>
  <c r="K14" i="93" s="1"/>
  <c r="J13" i="93"/>
  <c r="K13" i="93" s="1"/>
  <c r="J12" i="93"/>
  <c r="K12" i="93" s="1"/>
  <c r="J11" i="93"/>
  <c r="K11" i="93" s="1"/>
  <c r="J25" i="92"/>
  <c r="K25" i="92" s="1"/>
  <c r="J23" i="92"/>
  <c r="K23" i="92" s="1"/>
  <c r="J22" i="92"/>
  <c r="K22" i="92" s="1"/>
  <c r="J21" i="92"/>
  <c r="K21" i="92" s="1"/>
  <c r="J20" i="92"/>
  <c r="K20" i="92" s="1"/>
  <c r="J19" i="92"/>
  <c r="K19" i="92" s="1"/>
  <c r="J17" i="92"/>
  <c r="K17" i="92" s="1"/>
  <c r="J16" i="92"/>
  <c r="K16" i="92" s="1"/>
  <c r="J15" i="92"/>
  <c r="K15" i="92" s="1"/>
  <c r="J14" i="92"/>
  <c r="K14" i="92" s="1"/>
  <c r="J13" i="92"/>
  <c r="K13" i="92" s="1"/>
  <c r="J12" i="92"/>
  <c r="K12" i="92" s="1"/>
  <c r="J11" i="92"/>
  <c r="K11" i="92" s="1"/>
  <c r="J25" i="91"/>
  <c r="K25" i="91" s="1"/>
  <c r="J23" i="91"/>
  <c r="K23" i="91" s="1"/>
  <c r="J22" i="91"/>
  <c r="K22" i="91" s="1"/>
  <c r="J21" i="91"/>
  <c r="K21" i="91" s="1"/>
  <c r="J20" i="91"/>
  <c r="K20" i="91" s="1"/>
  <c r="J19" i="91"/>
  <c r="K19" i="91" s="1"/>
  <c r="J17" i="91"/>
  <c r="K17" i="91" s="1"/>
  <c r="J16" i="91"/>
  <c r="K16" i="91" s="1"/>
  <c r="J15" i="91"/>
  <c r="K15" i="91" s="1"/>
  <c r="J14" i="91"/>
  <c r="K14" i="91" s="1"/>
  <c r="J13" i="91"/>
  <c r="K13" i="91" s="1"/>
  <c r="J12" i="91"/>
  <c r="K12" i="91" s="1"/>
  <c r="J11" i="91"/>
  <c r="K11" i="91" s="1"/>
  <c r="J21" i="90"/>
  <c r="K21" i="90" s="1"/>
  <c r="J20" i="90"/>
  <c r="K20" i="90" s="1"/>
  <c r="J19" i="90"/>
  <c r="K19" i="90" s="1"/>
  <c r="J17" i="90"/>
  <c r="K17" i="90" s="1"/>
  <c r="J16" i="90"/>
  <c r="K16" i="90" s="1"/>
  <c r="J15" i="90"/>
  <c r="K15" i="90" s="1"/>
  <c r="J14" i="90"/>
  <c r="K14" i="90" s="1"/>
  <c r="J13" i="90"/>
  <c r="K13" i="90" s="1"/>
  <c r="J12" i="90"/>
  <c r="K12" i="90" s="1"/>
  <c r="J11" i="90"/>
  <c r="K11" i="90" s="1"/>
  <c r="J21" i="89"/>
  <c r="K21" i="89" s="1"/>
  <c r="J20" i="89"/>
  <c r="K20" i="89" s="1"/>
  <c r="J19" i="89"/>
  <c r="K19" i="89" s="1"/>
  <c r="J17" i="89"/>
  <c r="K17" i="89" s="1"/>
  <c r="J16" i="89"/>
  <c r="K16" i="89" s="1"/>
  <c r="J15" i="89"/>
  <c r="K15" i="89" s="1"/>
  <c r="J14" i="89"/>
  <c r="K14" i="89" s="1"/>
  <c r="J13" i="89"/>
  <c r="K13" i="89" s="1"/>
  <c r="J12" i="89"/>
  <c r="K12" i="89" s="1"/>
  <c r="J11" i="89"/>
  <c r="K11" i="89" s="1"/>
  <c r="J19" i="88"/>
  <c r="K19" i="88" s="1"/>
  <c r="J16" i="88"/>
  <c r="K16" i="88" s="1"/>
  <c r="J15" i="88"/>
  <c r="K15" i="88" s="1"/>
  <c r="J14" i="88"/>
  <c r="K14" i="88" s="1"/>
  <c r="J13" i="88"/>
  <c r="K13" i="88" s="1"/>
  <c r="J12" i="88"/>
  <c r="K12" i="88" s="1"/>
  <c r="J11" i="88"/>
  <c r="K11" i="88" s="1"/>
  <c r="J25" i="87"/>
  <c r="K25" i="87" s="1"/>
  <c r="J23" i="87"/>
  <c r="K23" i="87" s="1"/>
  <c r="J22" i="87"/>
  <c r="K22" i="87" s="1"/>
  <c r="J21" i="87"/>
  <c r="K21" i="87" s="1"/>
  <c r="J20" i="87"/>
  <c r="K20" i="87" s="1"/>
  <c r="J19" i="87"/>
  <c r="K19" i="87" s="1"/>
  <c r="J17" i="87"/>
  <c r="K17" i="87" s="1"/>
  <c r="J16" i="87"/>
  <c r="K16" i="87" s="1"/>
  <c r="J15" i="87"/>
  <c r="K15" i="87" s="1"/>
  <c r="J14" i="87"/>
  <c r="K14" i="87" s="1"/>
  <c r="J13" i="87"/>
  <c r="K13" i="87" s="1"/>
  <c r="J12" i="87"/>
  <c r="K12" i="87" s="1"/>
  <c r="J11" i="87"/>
  <c r="K11" i="87" s="1"/>
  <c r="J25" i="86"/>
  <c r="K25" i="86" s="1"/>
  <c r="J23" i="86"/>
  <c r="K23" i="86" s="1"/>
  <c r="J22" i="86"/>
  <c r="K22" i="86" s="1"/>
  <c r="J21" i="86"/>
  <c r="K21" i="86" s="1"/>
  <c r="J20" i="86"/>
  <c r="K20" i="86" s="1"/>
  <c r="J19" i="86"/>
  <c r="K19" i="86" s="1"/>
  <c r="J17" i="86"/>
  <c r="K17" i="86" s="1"/>
  <c r="J16" i="86"/>
  <c r="K16" i="86" s="1"/>
  <c r="J15" i="86"/>
  <c r="K15" i="86" s="1"/>
  <c r="J14" i="86"/>
  <c r="K14" i="86" s="1"/>
  <c r="J13" i="86"/>
  <c r="K13" i="86" s="1"/>
  <c r="J12" i="86"/>
  <c r="K12" i="86" s="1"/>
  <c r="J11" i="86"/>
  <c r="K11" i="86" s="1"/>
  <c r="J21" i="85"/>
  <c r="K21" i="85" s="1"/>
  <c r="J20" i="85"/>
  <c r="K20" i="85" s="1"/>
  <c r="J19" i="85"/>
  <c r="K19" i="85" s="1"/>
  <c r="J17" i="85"/>
  <c r="K17" i="85" s="1"/>
  <c r="J16" i="85"/>
  <c r="K16" i="85" s="1"/>
  <c r="J15" i="85"/>
  <c r="K15" i="85" s="1"/>
  <c r="J14" i="85"/>
  <c r="K14" i="85" s="1"/>
  <c r="J13" i="85"/>
  <c r="K13" i="85" s="1"/>
  <c r="J12" i="85"/>
  <c r="K12" i="85" s="1"/>
  <c r="J11" i="85"/>
  <c r="K11" i="85" s="1"/>
  <c r="J21" i="84"/>
  <c r="K21" i="84" s="1"/>
  <c r="J20" i="84"/>
  <c r="K20" i="84" s="1"/>
  <c r="J19" i="84"/>
  <c r="K19" i="84" s="1"/>
  <c r="J17" i="84"/>
  <c r="K17" i="84" s="1"/>
  <c r="J16" i="84"/>
  <c r="K16" i="84" s="1"/>
  <c r="J15" i="84"/>
  <c r="K15" i="84" s="1"/>
  <c r="J14" i="84"/>
  <c r="K14" i="84" s="1"/>
  <c r="J13" i="84"/>
  <c r="K13" i="84" s="1"/>
  <c r="J12" i="84"/>
  <c r="K12" i="84" s="1"/>
  <c r="J11" i="84"/>
  <c r="K11" i="84" s="1"/>
  <c r="J19" i="83"/>
  <c r="K19" i="83" s="1"/>
  <c r="J16" i="83"/>
  <c r="K16" i="83" s="1"/>
  <c r="J15" i="83"/>
  <c r="K15" i="83" s="1"/>
  <c r="J14" i="83"/>
  <c r="K14" i="83" s="1"/>
  <c r="J13" i="83"/>
  <c r="K13" i="83" s="1"/>
  <c r="J12" i="83"/>
  <c r="K12" i="83" s="1"/>
  <c r="J11" i="83"/>
  <c r="K11" i="83" s="1"/>
  <c r="J24" i="87" l="1"/>
  <c r="K24" i="87" s="1"/>
  <c r="J24" i="92"/>
  <c r="K24" i="92" s="1"/>
  <c r="J19" i="96"/>
  <c r="K19" i="96" s="1"/>
  <c r="J19" i="97"/>
  <c r="K19" i="97" s="1"/>
  <c r="J27" i="96"/>
  <c r="J27" i="94"/>
  <c r="J27" i="92"/>
  <c r="J27" i="90"/>
  <c r="J27" i="88"/>
  <c r="J27" i="87"/>
  <c r="J27" i="83"/>
  <c r="J27" i="85"/>
  <c r="J27" i="89"/>
  <c r="J27" i="86"/>
  <c r="J27" i="93"/>
  <c r="J24" i="97"/>
  <c r="K24" i="97" s="1"/>
  <c r="J27" i="84"/>
  <c r="J27" i="91"/>
  <c r="J27" i="97"/>
  <c r="J27" i="95"/>
  <c r="J12" i="20"/>
  <c r="K12" i="20" s="1"/>
  <c r="J21" i="20"/>
  <c r="K21" i="20" s="1"/>
  <c r="J25" i="82"/>
  <c r="K25" i="82" s="1"/>
  <c r="J23" i="82"/>
  <c r="K23" i="82" s="1"/>
  <c r="J22" i="82"/>
  <c r="K22" i="82" s="1"/>
  <c r="J21" i="82"/>
  <c r="K21" i="82" s="1"/>
  <c r="J20" i="82"/>
  <c r="K20" i="82" s="1"/>
  <c r="J18" i="82"/>
  <c r="K18" i="82" s="1"/>
  <c r="J17" i="82"/>
  <c r="K17" i="82" s="1"/>
  <c r="J16" i="82"/>
  <c r="K16" i="82" s="1"/>
  <c r="J15" i="82"/>
  <c r="K15" i="82" s="1"/>
  <c r="J14" i="82"/>
  <c r="K14" i="82" s="1"/>
  <c r="J13" i="82"/>
  <c r="K13" i="82" s="1"/>
  <c r="J12" i="82"/>
  <c r="K12" i="82" s="1"/>
  <c r="J11" i="82"/>
  <c r="K11" i="82" s="1"/>
  <c r="J25" i="81"/>
  <c r="K25" i="81" s="1"/>
  <c r="J23" i="81"/>
  <c r="K23" i="81" s="1"/>
  <c r="J22" i="81"/>
  <c r="K22" i="81" s="1"/>
  <c r="J21" i="81"/>
  <c r="K21" i="81" s="1"/>
  <c r="J20" i="81"/>
  <c r="K20" i="81" s="1"/>
  <c r="J17" i="81"/>
  <c r="K17" i="81" s="1"/>
  <c r="J16" i="81"/>
  <c r="K16" i="81" s="1"/>
  <c r="J15" i="81"/>
  <c r="K15" i="81" s="1"/>
  <c r="J14" i="81"/>
  <c r="K14" i="81" s="1"/>
  <c r="J13" i="81"/>
  <c r="K13" i="81" s="1"/>
  <c r="J12" i="81"/>
  <c r="K12" i="81" s="1"/>
  <c r="J11" i="81"/>
  <c r="K11" i="81" s="1"/>
  <c r="J21" i="80"/>
  <c r="K21" i="80" s="1"/>
  <c r="J20" i="80"/>
  <c r="K20" i="80" s="1"/>
  <c r="J19" i="80"/>
  <c r="K19" i="80" s="1"/>
  <c r="J17" i="80"/>
  <c r="K17" i="80" s="1"/>
  <c r="J16" i="80"/>
  <c r="K16" i="80" s="1"/>
  <c r="J15" i="80"/>
  <c r="K15" i="80" s="1"/>
  <c r="J14" i="80"/>
  <c r="K14" i="80" s="1"/>
  <c r="J13" i="80"/>
  <c r="K13" i="80" s="1"/>
  <c r="J12" i="80"/>
  <c r="K12" i="80" s="1"/>
  <c r="J11" i="80"/>
  <c r="K11" i="80" s="1"/>
  <c r="J21" i="79"/>
  <c r="K21" i="79" s="1"/>
  <c r="J20" i="79"/>
  <c r="K20" i="79" s="1"/>
  <c r="J19" i="79"/>
  <c r="K19" i="79" s="1"/>
  <c r="J17" i="79"/>
  <c r="K17" i="79" s="1"/>
  <c r="J16" i="79"/>
  <c r="K16" i="79" s="1"/>
  <c r="J15" i="79"/>
  <c r="K15" i="79" s="1"/>
  <c r="J14" i="79"/>
  <c r="K14" i="79" s="1"/>
  <c r="J13" i="79"/>
  <c r="K13" i="79" s="1"/>
  <c r="J12" i="79"/>
  <c r="K12" i="79" s="1"/>
  <c r="J11" i="79"/>
  <c r="K11" i="79" s="1"/>
  <c r="J19" i="78"/>
  <c r="K19" i="78" s="1"/>
  <c r="J16" i="78"/>
  <c r="K16" i="78" s="1"/>
  <c r="J15" i="78"/>
  <c r="K15" i="78" s="1"/>
  <c r="J14" i="78"/>
  <c r="K14" i="78" s="1"/>
  <c r="J13" i="78"/>
  <c r="K13" i="78" s="1"/>
  <c r="J12" i="78"/>
  <c r="K12" i="78" s="1"/>
  <c r="J11" i="78"/>
  <c r="K11" i="78" s="1"/>
  <c r="J25" i="77"/>
  <c r="K25" i="77" s="1"/>
  <c r="J23" i="77"/>
  <c r="K23" i="77" s="1"/>
  <c r="J22" i="77"/>
  <c r="K22" i="77" s="1"/>
  <c r="J21" i="77"/>
  <c r="K21" i="77" s="1"/>
  <c r="J20" i="77"/>
  <c r="K20" i="77" s="1"/>
  <c r="J19" i="77"/>
  <c r="K19" i="77" s="1"/>
  <c r="J17" i="77"/>
  <c r="K17" i="77" s="1"/>
  <c r="J16" i="77"/>
  <c r="K16" i="77" s="1"/>
  <c r="J15" i="77"/>
  <c r="K15" i="77" s="1"/>
  <c r="J14" i="77"/>
  <c r="K14" i="77" s="1"/>
  <c r="J13" i="77"/>
  <c r="K13" i="77" s="1"/>
  <c r="J12" i="77"/>
  <c r="K12" i="77" s="1"/>
  <c r="J11" i="77"/>
  <c r="K11" i="77" s="1"/>
  <c r="J25" i="76"/>
  <c r="K25" i="76" s="1"/>
  <c r="J23" i="76"/>
  <c r="K23" i="76" s="1"/>
  <c r="J22" i="76"/>
  <c r="K22" i="76" s="1"/>
  <c r="J21" i="76"/>
  <c r="K21" i="76" s="1"/>
  <c r="J20" i="76"/>
  <c r="K20" i="76" s="1"/>
  <c r="J19" i="76"/>
  <c r="K19" i="76" s="1"/>
  <c r="J17" i="76"/>
  <c r="K17" i="76" s="1"/>
  <c r="J16" i="76"/>
  <c r="K16" i="76" s="1"/>
  <c r="J15" i="76"/>
  <c r="K15" i="76" s="1"/>
  <c r="J14" i="76"/>
  <c r="K14" i="76" s="1"/>
  <c r="J13" i="76"/>
  <c r="K13" i="76" s="1"/>
  <c r="J12" i="76"/>
  <c r="K12" i="76" s="1"/>
  <c r="J11" i="76"/>
  <c r="K11" i="76" s="1"/>
  <c r="J21" i="75"/>
  <c r="K21" i="75" s="1"/>
  <c r="J20" i="75"/>
  <c r="K20" i="75" s="1"/>
  <c r="J19" i="75"/>
  <c r="K19" i="75" s="1"/>
  <c r="J17" i="75"/>
  <c r="K17" i="75" s="1"/>
  <c r="J16" i="75"/>
  <c r="K16" i="75" s="1"/>
  <c r="J15" i="75"/>
  <c r="K15" i="75" s="1"/>
  <c r="J14" i="75"/>
  <c r="K14" i="75" s="1"/>
  <c r="J13" i="75"/>
  <c r="K13" i="75" s="1"/>
  <c r="J12" i="75"/>
  <c r="K12" i="75" s="1"/>
  <c r="J11" i="75"/>
  <c r="K11" i="75" s="1"/>
  <c r="J21" i="74"/>
  <c r="K21" i="74" s="1"/>
  <c r="J20" i="74"/>
  <c r="K20" i="74" s="1"/>
  <c r="J19" i="74"/>
  <c r="K19" i="74" s="1"/>
  <c r="J17" i="74"/>
  <c r="K17" i="74" s="1"/>
  <c r="J16" i="74"/>
  <c r="K16" i="74" s="1"/>
  <c r="J15" i="74"/>
  <c r="K15" i="74" s="1"/>
  <c r="J14" i="74"/>
  <c r="K14" i="74" s="1"/>
  <c r="J13" i="74"/>
  <c r="K13" i="74" s="1"/>
  <c r="J12" i="74"/>
  <c r="K12" i="74" s="1"/>
  <c r="J11" i="74"/>
  <c r="K11" i="74" s="1"/>
  <c r="J19" i="73"/>
  <c r="K19" i="73" s="1"/>
  <c r="J16" i="73"/>
  <c r="K16" i="73" s="1"/>
  <c r="J15" i="73"/>
  <c r="K15" i="73" s="1"/>
  <c r="J14" i="73"/>
  <c r="K14" i="73" s="1"/>
  <c r="J13" i="73"/>
  <c r="K13" i="73" s="1"/>
  <c r="J12" i="73"/>
  <c r="K12" i="73" s="1"/>
  <c r="J11" i="73"/>
  <c r="K11" i="73" s="1"/>
  <c r="J25" i="72"/>
  <c r="K25" i="72" s="1"/>
  <c r="J23" i="72"/>
  <c r="K23" i="72" s="1"/>
  <c r="J22" i="72"/>
  <c r="K22" i="72" s="1"/>
  <c r="J21" i="72"/>
  <c r="K21" i="72" s="1"/>
  <c r="J20" i="72"/>
  <c r="K20" i="72" s="1"/>
  <c r="J19" i="72"/>
  <c r="K19" i="72" s="1"/>
  <c r="J17" i="72"/>
  <c r="K17" i="72" s="1"/>
  <c r="J16" i="72"/>
  <c r="K16" i="72" s="1"/>
  <c r="J15" i="72"/>
  <c r="K15" i="72" s="1"/>
  <c r="J14" i="72"/>
  <c r="K14" i="72" s="1"/>
  <c r="J13" i="72"/>
  <c r="K13" i="72" s="1"/>
  <c r="J12" i="72"/>
  <c r="K12" i="72" s="1"/>
  <c r="J11" i="72"/>
  <c r="K11" i="72" s="1"/>
  <c r="J25" i="71"/>
  <c r="K25" i="71" s="1"/>
  <c r="J23" i="71"/>
  <c r="K23" i="71" s="1"/>
  <c r="J22" i="71"/>
  <c r="K22" i="71" s="1"/>
  <c r="J21" i="71"/>
  <c r="K21" i="71" s="1"/>
  <c r="J20" i="71"/>
  <c r="K20" i="71" s="1"/>
  <c r="J19" i="71"/>
  <c r="K19" i="71" s="1"/>
  <c r="J17" i="71"/>
  <c r="K17" i="71" s="1"/>
  <c r="J16" i="71"/>
  <c r="K16" i="71" s="1"/>
  <c r="J15" i="71"/>
  <c r="K15" i="71" s="1"/>
  <c r="J14" i="71"/>
  <c r="K14" i="71" s="1"/>
  <c r="J13" i="71"/>
  <c r="K13" i="71" s="1"/>
  <c r="J12" i="71"/>
  <c r="K12" i="71" s="1"/>
  <c r="J11" i="71"/>
  <c r="K11" i="71" s="1"/>
  <c r="J21" i="70"/>
  <c r="K21" i="70" s="1"/>
  <c r="J20" i="70"/>
  <c r="K20" i="70" s="1"/>
  <c r="J19" i="70"/>
  <c r="K19" i="70" s="1"/>
  <c r="J17" i="70"/>
  <c r="K17" i="70" s="1"/>
  <c r="J16" i="70"/>
  <c r="K16" i="70" s="1"/>
  <c r="J15" i="70"/>
  <c r="K15" i="70" s="1"/>
  <c r="J14" i="70"/>
  <c r="K14" i="70" s="1"/>
  <c r="J13" i="70"/>
  <c r="K13" i="70" s="1"/>
  <c r="J12" i="70"/>
  <c r="K12" i="70" s="1"/>
  <c r="J11" i="70"/>
  <c r="K11" i="70" s="1"/>
  <c r="J21" i="69"/>
  <c r="K21" i="69" s="1"/>
  <c r="J20" i="69"/>
  <c r="K20" i="69" s="1"/>
  <c r="J19" i="69"/>
  <c r="K19" i="69" s="1"/>
  <c r="J17" i="69"/>
  <c r="K17" i="69" s="1"/>
  <c r="J16" i="69"/>
  <c r="K16" i="69" s="1"/>
  <c r="J15" i="69"/>
  <c r="K15" i="69" s="1"/>
  <c r="J14" i="69"/>
  <c r="K14" i="69" s="1"/>
  <c r="J13" i="69"/>
  <c r="K13" i="69" s="1"/>
  <c r="J12" i="69"/>
  <c r="K12" i="69" s="1"/>
  <c r="J11" i="69"/>
  <c r="K11" i="69" s="1"/>
  <c r="J19" i="68"/>
  <c r="K19" i="68" s="1"/>
  <c r="J16" i="68"/>
  <c r="K16" i="68" s="1"/>
  <c r="J15" i="68"/>
  <c r="K15" i="68" s="1"/>
  <c r="J14" i="68"/>
  <c r="K14" i="68" s="1"/>
  <c r="J13" i="68"/>
  <c r="K13" i="68" s="1"/>
  <c r="J12" i="68"/>
  <c r="K12" i="68" s="1"/>
  <c r="J11" i="68"/>
  <c r="K11" i="68" s="1"/>
  <c r="J23" i="51"/>
  <c r="K23" i="51" s="1"/>
  <c r="J22" i="51"/>
  <c r="K22" i="51" s="1"/>
  <c r="J21" i="51"/>
  <c r="K21" i="51" s="1"/>
  <c r="J20" i="51"/>
  <c r="K20" i="51" s="1"/>
  <c r="J18" i="51"/>
  <c r="K18" i="51" s="1"/>
  <c r="J14" i="51"/>
  <c r="K14" i="51" s="1"/>
  <c r="J13" i="51"/>
  <c r="K13" i="51" s="1"/>
  <c r="J12" i="51"/>
  <c r="K12" i="51" s="1"/>
  <c r="J11" i="51"/>
  <c r="K11" i="51" s="1"/>
  <c r="J17" i="51"/>
  <c r="K17" i="51" s="1"/>
  <c r="J16" i="51"/>
  <c r="K16" i="51" s="1"/>
  <c r="J15" i="51"/>
  <c r="K15" i="51" s="1"/>
  <c r="J22" i="50"/>
  <c r="K22" i="50" s="1"/>
  <c r="J23" i="50"/>
  <c r="K23" i="50" s="1"/>
  <c r="J21" i="50"/>
  <c r="K21" i="50" s="1"/>
  <c r="J20" i="50"/>
  <c r="K20" i="50" s="1"/>
  <c r="J25" i="51"/>
  <c r="K25" i="51" s="1"/>
  <c r="J25" i="50"/>
  <c r="K25" i="50" s="1"/>
  <c r="J18" i="50"/>
  <c r="K18" i="50" s="1"/>
  <c r="J17" i="50"/>
  <c r="K17" i="50" s="1"/>
  <c r="J16" i="50"/>
  <c r="K16" i="50" s="1"/>
  <c r="J15" i="50"/>
  <c r="K15" i="50" s="1"/>
  <c r="J14" i="50"/>
  <c r="K14" i="50" s="1"/>
  <c r="J13" i="50"/>
  <c r="K13" i="50" s="1"/>
  <c r="J12" i="50"/>
  <c r="K12" i="50" s="1"/>
  <c r="J11" i="50"/>
  <c r="K11" i="50" s="1"/>
  <c r="J21" i="49"/>
  <c r="K21" i="49" s="1"/>
  <c r="J20" i="49"/>
  <c r="K20" i="49" s="1"/>
  <c r="J19" i="49"/>
  <c r="K19" i="49" s="1"/>
  <c r="J17" i="49"/>
  <c r="K17" i="49" s="1"/>
  <c r="J16" i="49"/>
  <c r="K16" i="49" s="1"/>
  <c r="J15" i="49"/>
  <c r="K15" i="49" s="1"/>
  <c r="J14" i="49"/>
  <c r="K14" i="49" s="1"/>
  <c r="J13" i="49"/>
  <c r="K13" i="49" s="1"/>
  <c r="J12" i="49"/>
  <c r="K12" i="49" s="1"/>
  <c r="J11" i="49"/>
  <c r="K11" i="49" s="1"/>
  <c r="J21" i="48"/>
  <c r="K21" i="48" s="1"/>
  <c r="J20" i="48"/>
  <c r="K20" i="48" s="1"/>
  <c r="J19" i="48"/>
  <c r="K19" i="48" s="1"/>
  <c r="J17" i="48"/>
  <c r="K17" i="48" s="1"/>
  <c r="J16" i="48"/>
  <c r="K16" i="48" s="1"/>
  <c r="J15" i="48"/>
  <c r="K15" i="48" s="1"/>
  <c r="J14" i="48"/>
  <c r="K14" i="48" s="1"/>
  <c r="J13" i="48"/>
  <c r="K13" i="48" s="1"/>
  <c r="J12" i="48"/>
  <c r="K12" i="48" s="1"/>
  <c r="J11" i="48"/>
  <c r="K11" i="48" s="1"/>
  <c r="J19" i="47"/>
  <c r="K19" i="47" s="1"/>
  <c r="J16" i="47"/>
  <c r="K16" i="47" s="1"/>
  <c r="J15" i="47"/>
  <c r="K15" i="47" s="1"/>
  <c r="J14" i="47"/>
  <c r="K14" i="47" s="1"/>
  <c r="J13" i="47"/>
  <c r="K13" i="47" s="1"/>
  <c r="J12" i="47"/>
  <c r="K12" i="47" s="1"/>
  <c r="J11" i="47"/>
  <c r="K11" i="47" s="1"/>
  <c r="J25" i="46"/>
  <c r="K25" i="46" s="1"/>
  <c r="J23" i="46"/>
  <c r="K23" i="46" s="1"/>
  <c r="J22" i="46"/>
  <c r="K22" i="46" s="1"/>
  <c r="J21" i="46"/>
  <c r="K21" i="46" s="1"/>
  <c r="J20" i="46"/>
  <c r="K20" i="46" s="1"/>
  <c r="J19" i="46"/>
  <c r="K19" i="46" s="1"/>
  <c r="J17" i="46"/>
  <c r="K17" i="46" s="1"/>
  <c r="J16" i="46"/>
  <c r="K16" i="46" s="1"/>
  <c r="J15" i="46"/>
  <c r="K15" i="46" s="1"/>
  <c r="J14" i="46"/>
  <c r="K14" i="46" s="1"/>
  <c r="J13" i="46"/>
  <c r="K13" i="46" s="1"/>
  <c r="J12" i="46"/>
  <c r="K12" i="46" s="1"/>
  <c r="J11" i="46"/>
  <c r="K11" i="46" s="1"/>
  <c r="J25" i="45"/>
  <c r="K25" i="45" s="1"/>
  <c r="J23" i="45"/>
  <c r="K23" i="45" s="1"/>
  <c r="J22" i="45"/>
  <c r="K22" i="45" s="1"/>
  <c r="J21" i="45"/>
  <c r="K21" i="45" s="1"/>
  <c r="J20" i="45"/>
  <c r="K20" i="45" s="1"/>
  <c r="J19" i="45"/>
  <c r="K19" i="45" s="1"/>
  <c r="J17" i="45"/>
  <c r="K17" i="45" s="1"/>
  <c r="J16" i="45"/>
  <c r="K16" i="45" s="1"/>
  <c r="J15" i="45"/>
  <c r="K15" i="45" s="1"/>
  <c r="J14" i="45"/>
  <c r="K14" i="45" s="1"/>
  <c r="J13" i="45"/>
  <c r="K13" i="45" s="1"/>
  <c r="J12" i="45"/>
  <c r="K12" i="45" s="1"/>
  <c r="J11" i="45"/>
  <c r="K11" i="45" s="1"/>
  <c r="J21" i="44"/>
  <c r="K21" i="44" s="1"/>
  <c r="J20" i="44"/>
  <c r="K20" i="44" s="1"/>
  <c r="J19" i="44"/>
  <c r="K19" i="44" s="1"/>
  <c r="J17" i="44"/>
  <c r="K17" i="44" s="1"/>
  <c r="J16" i="44"/>
  <c r="K16" i="44" s="1"/>
  <c r="J15" i="44"/>
  <c r="K15" i="44" s="1"/>
  <c r="J14" i="44"/>
  <c r="K14" i="44" s="1"/>
  <c r="J13" i="44"/>
  <c r="K13" i="44" s="1"/>
  <c r="J12" i="44"/>
  <c r="K12" i="44" s="1"/>
  <c r="J11" i="44"/>
  <c r="K11" i="44" s="1"/>
  <c r="J21" i="43"/>
  <c r="K21" i="43" s="1"/>
  <c r="J20" i="43"/>
  <c r="K20" i="43" s="1"/>
  <c r="J19" i="43"/>
  <c r="K19" i="43" s="1"/>
  <c r="J17" i="43"/>
  <c r="K17" i="43" s="1"/>
  <c r="J16" i="43"/>
  <c r="K16" i="43" s="1"/>
  <c r="J15" i="43"/>
  <c r="K15" i="43" s="1"/>
  <c r="J14" i="43"/>
  <c r="K14" i="43" s="1"/>
  <c r="J13" i="43"/>
  <c r="K13" i="43" s="1"/>
  <c r="J12" i="43"/>
  <c r="K12" i="43" s="1"/>
  <c r="J11" i="43"/>
  <c r="K11" i="43" s="1"/>
  <c r="J19" i="42"/>
  <c r="K19" i="42" s="1"/>
  <c r="J16" i="42"/>
  <c r="K16" i="42" s="1"/>
  <c r="J15" i="42"/>
  <c r="K15" i="42" s="1"/>
  <c r="J14" i="42"/>
  <c r="K14" i="42" s="1"/>
  <c r="J13" i="42"/>
  <c r="K13" i="42" s="1"/>
  <c r="J12" i="42"/>
  <c r="K12" i="42" s="1"/>
  <c r="J11" i="42"/>
  <c r="K11" i="42" s="1"/>
  <c r="J25" i="41"/>
  <c r="K25" i="41" s="1"/>
  <c r="J25" i="35"/>
  <c r="K25" i="35" s="1"/>
  <c r="J25" i="40"/>
  <c r="K25" i="40" s="1"/>
  <c r="J25" i="31"/>
  <c r="K25" i="31" s="1"/>
  <c r="J25" i="30"/>
  <c r="K25" i="30" s="1"/>
  <c r="J25" i="20"/>
  <c r="K25" i="20" s="1"/>
  <c r="J25" i="19"/>
  <c r="K25" i="19" s="1"/>
  <c r="J23" i="41"/>
  <c r="K23" i="41" s="1"/>
  <c r="J22" i="41"/>
  <c r="K22" i="41" s="1"/>
  <c r="J23" i="31"/>
  <c r="K23" i="31" s="1"/>
  <c r="J22" i="31"/>
  <c r="K22" i="31" s="1"/>
  <c r="J23" i="20"/>
  <c r="K23" i="20" s="1"/>
  <c r="J22" i="20"/>
  <c r="K22" i="20" s="1"/>
  <c r="J23" i="40"/>
  <c r="K23" i="40" s="1"/>
  <c r="J22" i="40"/>
  <c r="K22" i="40" s="1"/>
  <c r="J23" i="35"/>
  <c r="K23" i="35" s="1"/>
  <c r="J22" i="35"/>
  <c r="K22" i="35" s="1"/>
  <c r="J23" i="30"/>
  <c r="K23" i="30" s="1"/>
  <c r="J22" i="30"/>
  <c r="K22" i="30" s="1"/>
  <c r="J23" i="19"/>
  <c r="K23" i="19" s="1"/>
  <c r="J22" i="19"/>
  <c r="K22" i="19" s="1"/>
  <c r="J21" i="41"/>
  <c r="K21" i="41" s="1"/>
  <c r="J20" i="41"/>
  <c r="K20" i="41" s="1"/>
  <c r="J19" i="41"/>
  <c r="K19" i="41" s="1"/>
  <c r="J17" i="41"/>
  <c r="K17" i="41" s="1"/>
  <c r="J16" i="41"/>
  <c r="K16" i="41" s="1"/>
  <c r="J15" i="41"/>
  <c r="K15" i="41" s="1"/>
  <c r="J14" i="41"/>
  <c r="K14" i="41" s="1"/>
  <c r="J13" i="41"/>
  <c r="K13" i="41" s="1"/>
  <c r="J12" i="41"/>
  <c r="K12" i="41" s="1"/>
  <c r="J11" i="41"/>
  <c r="K11" i="41" s="1"/>
  <c r="J21" i="40"/>
  <c r="K21" i="40" s="1"/>
  <c r="J20" i="40"/>
  <c r="K20" i="40" s="1"/>
  <c r="J19" i="40"/>
  <c r="K19" i="40" s="1"/>
  <c r="J17" i="40"/>
  <c r="K17" i="40" s="1"/>
  <c r="J16" i="40"/>
  <c r="K16" i="40" s="1"/>
  <c r="J15" i="40"/>
  <c r="K15" i="40" s="1"/>
  <c r="J14" i="40"/>
  <c r="K14" i="40" s="1"/>
  <c r="J13" i="40"/>
  <c r="K13" i="40" s="1"/>
  <c r="J12" i="40"/>
  <c r="K12" i="40" s="1"/>
  <c r="J11" i="40"/>
  <c r="K11" i="40" s="1"/>
  <c r="J21" i="39"/>
  <c r="K21" i="39" s="1"/>
  <c r="J20" i="39"/>
  <c r="K20" i="39" s="1"/>
  <c r="J19" i="39"/>
  <c r="K19" i="39" s="1"/>
  <c r="J17" i="39"/>
  <c r="K17" i="39" s="1"/>
  <c r="J16" i="39"/>
  <c r="K16" i="39" s="1"/>
  <c r="J15" i="39"/>
  <c r="K15" i="39" s="1"/>
  <c r="J14" i="39"/>
  <c r="K14" i="39" s="1"/>
  <c r="J13" i="39"/>
  <c r="K13" i="39" s="1"/>
  <c r="J12" i="39"/>
  <c r="K12" i="39" s="1"/>
  <c r="J11" i="39"/>
  <c r="K11" i="39" s="1"/>
  <c r="J21" i="38"/>
  <c r="K21" i="38" s="1"/>
  <c r="J20" i="38"/>
  <c r="K20" i="38" s="1"/>
  <c r="J19" i="38"/>
  <c r="K19" i="38" s="1"/>
  <c r="J17" i="38"/>
  <c r="K17" i="38" s="1"/>
  <c r="J16" i="38"/>
  <c r="K16" i="38" s="1"/>
  <c r="J15" i="38"/>
  <c r="K15" i="38" s="1"/>
  <c r="J14" i="38"/>
  <c r="K14" i="38" s="1"/>
  <c r="J13" i="38"/>
  <c r="K13" i="38" s="1"/>
  <c r="J12" i="38"/>
  <c r="K12" i="38" s="1"/>
  <c r="J11" i="38"/>
  <c r="K11" i="38" s="1"/>
  <c r="J19" i="37"/>
  <c r="K19" i="37" s="1"/>
  <c r="J16" i="37"/>
  <c r="K16" i="37" s="1"/>
  <c r="J15" i="37"/>
  <c r="K15" i="37" s="1"/>
  <c r="J14" i="37"/>
  <c r="K14" i="37" s="1"/>
  <c r="J13" i="37"/>
  <c r="K13" i="37" s="1"/>
  <c r="J12" i="37"/>
  <c r="K12" i="37" s="1"/>
  <c r="J11" i="37"/>
  <c r="K11" i="37" s="1"/>
  <c r="J21" i="35"/>
  <c r="K21" i="35" s="1"/>
  <c r="J20" i="35"/>
  <c r="K20" i="35" s="1"/>
  <c r="J18" i="35"/>
  <c r="K18" i="35" s="1"/>
  <c r="J17" i="35"/>
  <c r="K17" i="35" s="1"/>
  <c r="J16" i="35"/>
  <c r="K16" i="35" s="1"/>
  <c r="J15" i="35"/>
  <c r="K15" i="35" s="1"/>
  <c r="J14" i="35"/>
  <c r="K14" i="35" s="1"/>
  <c r="J13" i="35"/>
  <c r="K13" i="35" s="1"/>
  <c r="J12" i="35"/>
  <c r="K12" i="35" s="1"/>
  <c r="J11" i="35"/>
  <c r="K11" i="35" s="1"/>
  <c r="J21" i="34"/>
  <c r="K21" i="34" s="1"/>
  <c r="J20" i="34"/>
  <c r="K20" i="34" s="1"/>
  <c r="J19" i="34"/>
  <c r="K19" i="34" s="1"/>
  <c r="J17" i="34"/>
  <c r="K17" i="34" s="1"/>
  <c r="J16" i="34"/>
  <c r="K16" i="34" s="1"/>
  <c r="J15" i="34"/>
  <c r="K15" i="34" s="1"/>
  <c r="J14" i="34"/>
  <c r="K14" i="34" s="1"/>
  <c r="J13" i="34"/>
  <c r="K13" i="34" s="1"/>
  <c r="J12" i="34"/>
  <c r="K12" i="34" s="1"/>
  <c r="J11" i="34"/>
  <c r="K11" i="34" s="1"/>
  <c r="J21" i="33"/>
  <c r="K21" i="33" s="1"/>
  <c r="J20" i="33"/>
  <c r="K20" i="33" s="1"/>
  <c r="J19" i="33"/>
  <c r="K19" i="33" s="1"/>
  <c r="J17" i="33"/>
  <c r="K17" i="33" s="1"/>
  <c r="J16" i="33"/>
  <c r="K16" i="33" s="1"/>
  <c r="J15" i="33"/>
  <c r="K15" i="33" s="1"/>
  <c r="J14" i="33"/>
  <c r="K14" i="33" s="1"/>
  <c r="J13" i="33"/>
  <c r="K13" i="33" s="1"/>
  <c r="J12" i="33"/>
  <c r="K12" i="33" s="1"/>
  <c r="J11" i="33"/>
  <c r="K11" i="33" s="1"/>
  <c r="J19" i="32"/>
  <c r="K19" i="32" s="1"/>
  <c r="J16" i="32"/>
  <c r="K16" i="32" s="1"/>
  <c r="J15" i="32"/>
  <c r="K15" i="32" s="1"/>
  <c r="J14" i="32"/>
  <c r="K14" i="32" s="1"/>
  <c r="J13" i="32"/>
  <c r="K13" i="32" s="1"/>
  <c r="J12" i="32"/>
  <c r="K12" i="32" s="1"/>
  <c r="J11" i="32"/>
  <c r="K11" i="32" s="1"/>
  <c r="J29" i="90" l="1"/>
  <c r="K29" i="90" s="1"/>
  <c r="K27" i="90"/>
  <c r="J29" i="93"/>
  <c r="K29" i="93" s="1"/>
  <c r="K27" i="93"/>
  <c r="J29" i="86"/>
  <c r="K29" i="86" s="1"/>
  <c r="K27" i="86"/>
  <c r="J29" i="94"/>
  <c r="K29" i="94" s="1"/>
  <c r="K27" i="94"/>
  <c r="J29" i="92"/>
  <c r="K29" i="92" s="1"/>
  <c r="K27" i="92"/>
  <c r="J29" i="89"/>
  <c r="K29" i="89" s="1"/>
  <c r="K27" i="89"/>
  <c r="J29" i="96"/>
  <c r="K29" i="96" s="1"/>
  <c r="K27" i="96"/>
  <c r="J29" i="95"/>
  <c r="K29" i="95" s="1"/>
  <c r="K27" i="95"/>
  <c r="J29" i="85"/>
  <c r="K29" i="85" s="1"/>
  <c r="K27" i="85"/>
  <c r="J29" i="97"/>
  <c r="K29" i="97" s="1"/>
  <c r="K27" i="97"/>
  <c r="J29" i="83"/>
  <c r="K29" i="83" s="1"/>
  <c r="K27" i="83"/>
  <c r="J29" i="91"/>
  <c r="K29" i="91" s="1"/>
  <c r="K27" i="91"/>
  <c r="J29" i="87"/>
  <c r="K29" i="87" s="1"/>
  <c r="K27" i="87"/>
  <c r="J29" i="84"/>
  <c r="K29" i="84" s="1"/>
  <c r="K27" i="84"/>
  <c r="J29" i="88"/>
  <c r="K29" i="88" s="1"/>
  <c r="K27" i="88"/>
  <c r="J27" i="78"/>
  <c r="J27" i="45"/>
  <c r="J27" i="46"/>
  <c r="J24" i="46"/>
  <c r="K24" i="46" s="1"/>
  <c r="J19" i="50"/>
  <c r="K19" i="50" s="1"/>
  <c r="J19" i="81"/>
  <c r="K19" i="81" s="1"/>
  <c r="J19" i="82"/>
  <c r="K19" i="82" s="1"/>
  <c r="J19" i="35"/>
  <c r="K19" i="35" s="1"/>
  <c r="J19" i="51"/>
  <c r="K19" i="51" s="1"/>
  <c r="J24" i="82"/>
  <c r="K24" i="82" s="1"/>
  <c r="J24" i="51"/>
  <c r="K24" i="51" s="1"/>
  <c r="J27" i="50"/>
  <c r="J27" i="73"/>
  <c r="J27" i="71"/>
  <c r="J27" i="74"/>
  <c r="J27" i="77"/>
  <c r="J24" i="77"/>
  <c r="K24" i="77" s="1"/>
  <c r="J27" i="81"/>
  <c r="J27" i="70"/>
  <c r="J27" i="80"/>
  <c r="J27" i="68"/>
  <c r="J27" i="69"/>
  <c r="J27" i="72"/>
  <c r="J24" i="72"/>
  <c r="K24" i="72" s="1"/>
  <c r="J27" i="76"/>
  <c r="J27" i="79"/>
  <c r="J27" i="82"/>
  <c r="J27" i="75"/>
  <c r="J27" i="51"/>
  <c r="J27" i="49"/>
  <c r="J27" i="48"/>
  <c r="J27" i="47"/>
  <c r="J27" i="42"/>
  <c r="J27" i="43"/>
  <c r="J27" i="44"/>
  <c r="J24" i="41"/>
  <c r="K24" i="41" s="1"/>
  <c r="J27" i="39"/>
  <c r="J27" i="40"/>
  <c r="J27" i="41"/>
  <c r="J27" i="38"/>
  <c r="J27" i="37"/>
  <c r="J27" i="32"/>
  <c r="J27" i="33"/>
  <c r="J27" i="34"/>
  <c r="J27" i="35"/>
  <c r="J21" i="31"/>
  <c r="K21" i="31" s="1"/>
  <c r="J20" i="31"/>
  <c r="K20" i="31" s="1"/>
  <c r="J19" i="31"/>
  <c r="K19" i="31" s="1"/>
  <c r="J17" i="31"/>
  <c r="K17" i="31" s="1"/>
  <c r="J16" i="31"/>
  <c r="K16" i="31" s="1"/>
  <c r="J15" i="31"/>
  <c r="K15" i="31" s="1"/>
  <c r="J14" i="31"/>
  <c r="K14" i="31" s="1"/>
  <c r="J13" i="31"/>
  <c r="K13" i="31" s="1"/>
  <c r="J12" i="31"/>
  <c r="K12" i="31" s="1"/>
  <c r="J11" i="31"/>
  <c r="K11" i="31" s="1"/>
  <c r="J21" i="30"/>
  <c r="K21" i="30" s="1"/>
  <c r="J20" i="30"/>
  <c r="K20" i="30" s="1"/>
  <c r="J19" i="30"/>
  <c r="K19" i="30" s="1"/>
  <c r="J17" i="30"/>
  <c r="K17" i="30" s="1"/>
  <c r="J16" i="30"/>
  <c r="K16" i="30" s="1"/>
  <c r="J15" i="30"/>
  <c r="K15" i="30" s="1"/>
  <c r="J14" i="30"/>
  <c r="K14" i="30" s="1"/>
  <c r="J13" i="30"/>
  <c r="K13" i="30" s="1"/>
  <c r="J12" i="30"/>
  <c r="K12" i="30" s="1"/>
  <c r="J11" i="30"/>
  <c r="K11" i="30" s="1"/>
  <c r="J21" i="29"/>
  <c r="K21" i="29" s="1"/>
  <c r="J20" i="29"/>
  <c r="K20" i="29" s="1"/>
  <c r="J19" i="29"/>
  <c r="K19" i="29" s="1"/>
  <c r="J17" i="29"/>
  <c r="K17" i="29" s="1"/>
  <c r="J16" i="29"/>
  <c r="K16" i="29" s="1"/>
  <c r="J15" i="29"/>
  <c r="K15" i="29" s="1"/>
  <c r="J14" i="29"/>
  <c r="K14" i="29" s="1"/>
  <c r="J13" i="29"/>
  <c r="K13" i="29" s="1"/>
  <c r="J12" i="29"/>
  <c r="K12" i="29" s="1"/>
  <c r="J11" i="29"/>
  <c r="K11" i="29" s="1"/>
  <c r="J21" i="28"/>
  <c r="K21" i="28" s="1"/>
  <c r="J20" i="28"/>
  <c r="K20" i="28" s="1"/>
  <c r="J19" i="28"/>
  <c r="K19" i="28" s="1"/>
  <c r="J17" i="28"/>
  <c r="K17" i="28" s="1"/>
  <c r="J16" i="28"/>
  <c r="K16" i="28" s="1"/>
  <c r="J15" i="28"/>
  <c r="K15" i="28" s="1"/>
  <c r="J14" i="28"/>
  <c r="K14" i="28" s="1"/>
  <c r="J13" i="28"/>
  <c r="K13" i="28" s="1"/>
  <c r="J12" i="28"/>
  <c r="K12" i="28" s="1"/>
  <c r="J11" i="28"/>
  <c r="K11" i="28" s="1"/>
  <c r="J19" i="27"/>
  <c r="K19" i="27" s="1"/>
  <c r="J16" i="27"/>
  <c r="K16" i="27" s="1"/>
  <c r="J15" i="27"/>
  <c r="K15" i="27" s="1"/>
  <c r="J14" i="27"/>
  <c r="K14" i="27" s="1"/>
  <c r="J13" i="27"/>
  <c r="K13" i="27" s="1"/>
  <c r="J12" i="27"/>
  <c r="K12" i="27" s="1"/>
  <c r="J11" i="27"/>
  <c r="K11" i="27" s="1"/>
  <c r="J20" i="20"/>
  <c r="J19" i="20"/>
  <c r="K19" i="20" s="1"/>
  <c r="J17" i="20"/>
  <c r="K17" i="20" s="1"/>
  <c r="J16" i="20"/>
  <c r="K16" i="20" s="1"/>
  <c r="J15" i="20"/>
  <c r="K15" i="20" s="1"/>
  <c r="J14" i="20"/>
  <c r="K14" i="20" s="1"/>
  <c r="J13" i="20"/>
  <c r="K13" i="20" s="1"/>
  <c r="J11" i="20"/>
  <c r="K11" i="20" s="1"/>
  <c r="J17" i="19"/>
  <c r="K17" i="19" s="1"/>
  <c r="J21" i="19"/>
  <c r="K21" i="19" s="1"/>
  <c r="J20" i="19"/>
  <c r="K20" i="19" s="1"/>
  <c r="J19" i="19"/>
  <c r="K19" i="19" s="1"/>
  <c r="J16" i="19"/>
  <c r="K16" i="19" s="1"/>
  <c r="J15" i="19"/>
  <c r="K15" i="19" s="1"/>
  <c r="J14" i="19"/>
  <c r="K14" i="19" s="1"/>
  <c r="J13" i="19"/>
  <c r="K13" i="19" s="1"/>
  <c r="J12" i="19"/>
  <c r="K12" i="19" s="1"/>
  <c r="J11" i="19"/>
  <c r="K11" i="19" s="1"/>
  <c r="J21" i="18"/>
  <c r="K21" i="18" s="1"/>
  <c r="J20" i="18"/>
  <c r="K20" i="18" s="1"/>
  <c r="J19" i="18"/>
  <c r="K19" i="18" s="1"/>
  <c r="J17" i="18"/>
  <c r="K17" i="18" s="1"/>
  <c r="J16" i="18"/>
  <c r="K16" i="18" s="1"/>
  <c r="J15" i="18"/>
  <c r="K15" i="18" s="1"/>
  <c r="J14" i="18"/>
  <c r="K14" i="18" s="1"/>
  <c r="J13" i="18"/>
  <c r="K13" i="18" s="1"/>
  <c r="J12" i="18"/>
  <c r="K12" i="18" s="1"/>
  <c r="J11" i="18"/>
  <c r="K11" i="18" s="1"/>
  <c r="J21" i="5"/>
  <c r="K21" i="5" s="1"/>
  <c r="J20" i="5"/>
  <c r="K20" i="5" s="1"/>
  <c r="J17" i="5"/>
  <c r="K17" i="5" s="1"/>
  <c r="J19" i="5"/>
  <c r="K19" i="5" s="1"/>
  <c r="J16" i="5"/>
  <c r="K16" i="5" s="1"/>
  <c r="J15" i="5"/>
  <c r="K15" i="5" s="1"/>
  <c r="J14" i="5"/>
  <c r="K14" i="5" s="1"/>
  <c r="J13" i="5"/>
  <c r="K13" i="5" s="1"/>
  <c r="J12" i="5"/>
  <c r="K12" i="5" s="1"/>
  <c r="J11" i="5"/>
  <c r="K11" i="5" s="1"/>
  <c r="J29" i="32" l="1"/>
  <c r="K29" i="32" s="1"/>
  <c r="K27" i="32"/>
  <c r="J29" i="43"/>
  <c r="K29" i="43" s="1"/>
  <c r="K27" i="43"/>
  <c r="J29" i="79"/>
  <c r="K29" i="79" s="1"/>
  <c r="K27" i="79"/>
  <c r="J29" i="81"/>
  <c r="K29" i="81" s="1"/>
  <c r="K27" i="81"/>
  <c r="J29" i="45"/>
  <c r="K29" i="45" s="1"/>
  <c r="K27" i="45"/>
  <c r="J29" i="37"/>
  <c r="K29" i="37" s="1"/>
  <c r="K27" i="37"/>
  <c r="J29" i="42"/>
  <c r="K29" i="42" s="1"/>
  <c r="K27" i="42"/>
  <c r="J29" i="76"/>
  <c r="K29" i="76" s="1"/>
  <c r="K27" i="76"/>
  <c r="J29" i="78"/>
  <c r="K29" i="78" s="1"/>
  <c r="K27" i="78"/>
  <c r="J29" i="38"/>
  <c r="K29" i="38" s="1"/>
  <c r="K27" i="38"/>
  <c r="J29" i="47"/>
  <c r="K29" i="47" s="1"/>
  <c r="K27" i="47"/>
  <c r="J29" i="77"/>
  <c r="K29" i="77" s="1"/>
  <c r="K27" i="77"/>
  <c r="J29" i="41"/>
  <c r="K29" i="41" s="1"/>
  <c r="K27" i="41"/>
  <c r="J29" i="48"/>
  <c r="K29" i="48" s="1"/>
  <c r="K27" i="48"/>
  <c r="J29" i="72"/>
  <c r="K29" i="72" s="1"/>
  <c r="K27" i="72"/>
  <c r="J29" i="74"/>
  <c r="K29" i="74" s="1"/>
  <c r="K27" i="74"/>
  <c r="J29" i="40"/>
  <c r="K29" i="40" s="1"/>
  <c r="K27" i="40"/>
  <c r="J29" i="49"/>
  <c r="K29" i="49" s="1"/>
  <c r="K27" i="49"/>
  <c r="J29" i="69"/>
  <c r="K29" i="69" s="1"/>
  <c r="K27" i="69"/>
  <c r="J29" i="71"/>
  <c r="K29" i="71" s="1"/>
  <c r="K27" i="71"/>
  <c r="J24" i="20"/>
  <c r="K24" i="20" s="1"/>
  <c r="K20" i="20"/>
  <c r="J29" i="35"/>
  <c r="K29" i="35" s="1"/>
  <c r="K27" i="35"/>
  <c r="J29" i="39"/>
  <c r="K29" i="39" s="1"/>
  <c r="K27" i="39"/>
  <c r="J29" i="51"/>
  <c r="K29" i="51" s="1"/>
  <c r="K27" i="51"/>
  <c r="J29" i="68"/>
  <c r="K29" i="68" s="1"/>
  <c r="K27" i="68"/>
  <c r="J29" i="73"/>
  <c r="K29" i="73" s="1"/>
  <c r="K27" i="73"/>
  <c r="J29" i="34"/>
  <c r="K29" i="34" s="1"/>
  <c r="K27" i="34"/>
  <c r="J29" i="75"/>
  <c r="K29" i="75" s="1"/>
  <c r="K27" i="75"/>
  <c r="J29" i="80"/>
  <c r="K29" i="80" s="1"/>
  <c r="K27" i="80"/>
  <c r="J29" i="50"/>
  <c r="K29" i="50" s="1"/>
  <c r="K27" i="50"/>
  <c r="J29" i="33"/>
  <c r="K29" i="33" s="1"/>
  <c r="K27" i="33"/>
  <c r="J29" i="44"/>
  <c r="K29" i="44" s="1"/>
  <c r="K27" i="44"/>
  <c r="J29" i="82"/>
  <c r="K29" i="82" s="1"/>
  <c r="K27" i="82"/>
  <c r="J29" i="70"/>
  <c r="K29" i="70" s="1"/>
  <c r="K27" i="70"/>
  <c r="J29" i="46"/>
  <c r="K29" i="46" s="1"/>
  <c r="K27" i="46"/>
  <c r="J24" i="31"/>
  <c r="K24" i="31" s="1"/>
  <c r="J27" i="30"/>
  <c r="J27" i="27"/>
  <c r="J27" i="28"/>
  <c r="J27" i="29"/>
  <c r="J27" i="31"/>
  <c r="J27" i="20"/>
  <c r="J27" i="19"/>
  <c r="J27" i="18"/>
  <c r="J27" i="5"/>
  <c r="J14" i="3"/>
  <c r="K14" i="3" s="1"/>
  <c r="J13" i="3"/>
  <c r="K13" i="3" s="1"/>
  <c r="J19" i="3"/>
  <c r="K19" i="3" s="1"/>
  <c r="J16" i="3"/>
  <c r="K16" i="3" s="1"/>
  <c r="J15" i="3"/>
  <c r="K15" i="3" s="1"/>
  <c r="J29" i="19" l="1"/>
  <c r="K29" i="19" s="1"/>
  <c r="K27" i="19"/>
  <c r="J29" i="20"/>
  <c r="K29" i="20" s="1"/>
  <c r="K27" i="20"/>
  <c r="J29" i="18"/>
  <c r="K29" i="18" s="1"/>
  <c r="K27" i="18"/>
  <c r="J29" i="31"/>
  <c r="K29" i="31" s="1"/>
  <c r="K27" i="31"/>
  <c r="J29" i="30"/>
  <c r="K29" i="30" s="1"/>
  <c r="K27" i="30"/>
  <c r="J29" i="5"/>
  <c r="K29" i="5" s="1"/>
  <c r="K27" i="5"/>
  <c r="J29" i="29"/>
  <c r="K29" i="29" s="1"/>
  <c r="K27" i="29"/>
  <c r="J29" i="28"/>
  <c r="K29" i="28" s="1"/>
  <c r="K27" i="28"/>
  <c r="J29" i="27"/>
  <c r="K29" i="27" s="1"/>
  <c r="K27" i="27"/>
  <c r="J12" i="3"/>
  <c r="K12" i="3" s="1"/>
  <c r="J11" i="3"/>
  <c r="J27" i="3" l="1"/>
  <c r="K11" i="3"/>
  <c r="E44" i="1"/>
  <c r="H41" i="1"/>
  <c r="E36" i="1"/>
  <c r="H33" i="1"/>
  <c r="E38" i="1"/>
  <c r="N36" i="1"/>
  <c r="E31" i="1"/>
  <c r="N43" i="1"/>
  <c r="E41" i="1"/>
  <c r="E37" i="1"/>
  <c r="K29" i="1"/>
  <c r="K42" i="1"/>
  <c r="K35" i="1"/>
  <c r="H38" i="1"/>
  <c r="E35" i="1"/>
  <c r="E33" i="1"/>
  <c r="E43" i="1"/>
  <c r="N41" i="1"/>
  <c r="E30" i="1"/>
  <c r="K44" i="1"/>
  <c r="K43" i="1"/>
  <c r="H36" i="1"/>
  <c r="N32" i="1"/>
  <c r="K31" i="1"/>
  <c r="H30" i="1"/>
  <c r="N29" i="1"/>
  <c r="N45" i="1"/>
  <c r="K38" i="1"/>
  <c r="H31" i="1"/>
  <c r="N44" i="1"/>
  <c r="K37" i="1"/>
  <c r="H29" i="1"/>
  <c r="K45" i="1"/>
  <c r="H44" i="1"/>
  <c r="E42" i="1"/>
  <c r="K39" i="1"/>
  <c r="N35" i="1"/>
  <c r="H45" i="1"/>
  <c r="N39" i="1"/>
  <c r="K32" i="1"/>
  <c r="N38" i="1"/>
  <c r="K30" i="1"/>
  <c r="E39" i="1"/>
  <c r="N42" i="1"/>
  <c r="K41" i="1"/>
  <c r="H39" i="1"/>
  <c r="N30" i="1"/>
  <c r="K33" i="1"/>
  <c r="H32" i="1"/>
  <c r="N33" i="1"/>
  <c r="H43" i="1"/>
  <c r="N31" i="1"/>
  <c r="H42" i="1"/>
  <c r="N37" i="1"/>
  <c r="K36" i="1"/>
  <c r="H35" i="1"/>
  <c r="E32" i="1"/>
  <c r="H37" i="1"/>
  <c r="J29" i="3" l="1"/>
  <c r="K29" i="3" s="1"/>
  <c r="E29" i="1" s="1"/>
  <c r="K27" i="3"/>
</calcChain>
</file>

<file path=xl/sharedStrings.xml><?xml version="1.0" encoding="utf-8"?>
<sst xmlns="http://schemas.openxmlformats.org/spreadsheetml/2006/main" count="2970" uniqueCount="150">
  <si>
    <t>Pris forslag til opsætning af gipsvægge</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</si>
  <si>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</si>
  <si>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</si>
  <si>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</si>
  <si>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</si>
  <si>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</si>
  <si>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</si>
  <si>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</si>
  <si>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xml:space="preserve">- Disse priser er baseret på en stolpeafstand på 30-45cm; 100mm isolering i ét lag; 2 lag almindelig gips på to sider; fuge mellem 1. og 2. lag på begge sider; 1x båndstål i væggens længde på begge sider, indtil 4,8m højde, derefter er der medregnet 2x båndstål på begge sider. </t>
  </si>
  <si>
    <t>- Der er ligeledes medregnet brug af stillads, men ikke opsætning og nedtagning. Husk i øvrigt at akkordere for delvis nedtagning, f.eks. for at komme igennem dørhuller, samt lodret transport af materialer.</t>
  </si>
  <si>
    <t>- Der er også medregnet højdetillæg på de to højeste væg typer. Højdetillæget på 0,5% tilkommer vægge over 4,2 m og øges med yderligere 0,5% for hver påbegyndt 1,8 m derover.</t>
  </si>
  <si>
    <t>Regnskabs nummer</t>
  </si>
  <si>
    <t>t.o.m 100 m2</t>
  </si>
  <si>
    <t>t.o.m 300 m2</t>
  </si>
  <si>
    <t>t.o.m 650 m2</t>
  </si>
  <si>
    <t>over    650 m2</t>
  </si>
  <si>
    <t>Væglængde t.o.m</t>
  </si>
  <si>
    <t>Væghøjde</t>
  </si>
  <si>
    <t>2 m</t>
  </si>
  <si>
    <t>2,4 m</t>
  </si>
  <si>
    <t>kr/m2</t>
  </si>
  <si>
    <t>2,8 m</t>
  </si>
  <si>
    <t>3,6 m</t>
  </si>
  <si>
    <t>5 m</t>
  </si>
  <si>
    <t>6,8 m</t>
  </si>
  <si>
    <t>5 m.</t>
  </si>
  <si>
    <t>20 m.</t>
  </si>
  <si>
    <r>
      <t>&gt; 100 m</t>
    </r>
    <r>
      <rPr>
        <sz val="9"/>
        <color indexed="10"/>
        <rFont val="Arial"/>
        <family val="2"/>
      </rPr>
      <t>2</t>
    </r>
  </si>
  <si>
    <t>REGNSKABS NUMMER 1, LETTE SKILLEVÆGGE.</t>
  </si>
  <si>
    <t xml:space="preserve">Dette regnskab er lavet efter </t>
  </si>
  <si>
    <t>overenskomsten.</t>
  </si>
  <si>
    <t>Væg længde i meter</t>
  </si>
  <si>
    <t>Væg højde i meter</t>
  </si>
  <si>
    <t>Gradueringen er t.o.m</t>
  </si>
  <si>
    <t>kvm</t>
  </si>
  <si>
    <t>Gipsvæg 2 sider med 2 lag gips og 100mm isolering</t>
  </si>
  <si>
    <t>Kode</t>
  </si>
  <si>
    <t>Tekst</t>
  </si>
  <si>
    <t>Pris</t>
  </si>
  <si>
    <t>I alt</t>
  </si>
  <si>
    <t>060102</t>
  </si>
  <si>
    <t>Afstand over 30 cm t.o.m. 45 cm, pr. m2</t>
  </si>
  <si>
    <t>060113</t>
  </si>
  <si>
    <t>Isolering t.o.m. 100 mm af 1 eller 2 lag opsat i væg inkl. udskæringer, pr. m2</t>
  </si>
  <si>
    <t>060115</t>
  </si>
  <si>
    <t>Plader t.o.m. 13 mm enkeltlag, pr. m2</t>
  </si>
  <si>
    <t>060118</t>
  </si>
  <si>
    <t>Ekstra lag plader, t.o.m. 13 mm, sammen med første lag, pr. m2.</t>
  </si>
  <si>
    <t>060120</t>
  </si>
  <si>
    <t>Der betales et fladetillæg pr. vægside for t.o.m. 2 lag gipsplader, pr. stk.</t>
  </si>
  <si>
    <t>060121</t>
  </si>
  <si>
    <t>Der betales et fladetillæg pr. lag isolering og dampspærre pr. stk</t>
  </si>
  <si>
    <t>060125</t>
  </si>
  <si>
    <t>Pladebånd/båndstål til forstærkning bag ikke understøttede pladesamlinger bredde t.o.m. 100 mm, betales pr. m</t>
  </si>
  <si>
    <t>100305</t>
  </si>
  <si>
    <t>Skumning eller fugning med 1-komponent fugemasse inkl. Aftagning af evt. skum eller fugemasse, pr. m</t>
  </si>
  <si>
    <t>100725C</t>
  </si>
  <si>
    <t>Rullestillads til vægarbejde over 2,6m, stål</t>
  </si>
  <si>
    <t>100725E</t>
  </si>
  <si>
    <t>Rullestillads til vægarbejde over 2,6m, 2 lag gips</t>
  </si>
  <si>
    <t>100726</t>
  </si>
  <si>
    <t>Ændring af stillads op til ny arbejdshøjde, pr. m</t>
  </si>
  <si>
    <t>100727</t>
  </si>
  <si>
    <t>Ændring af stillads ned til ny arbejdshøjde, pr. m</t>
  </si>
  <si>
    <t>100728</t>
  </si>
  <si>
    <t>Er højden ved træ- og rørstilladser over 4 m til stilladsgulvet, tillægges den samlede stilladspris pr. påbegyndt 2 m større højde</t>
  </si>
  <si>
    <t>100729</t>
  </si>
  <si>
    <t>Hvor arbejdets art nødvendiggør anvendelse af støtteben, betales der ved opstilling eller flytning, pr. stk. ben</t>
  </si>
  <si>
    <t>Totalt for denne type væg</t>
  </si>
  <si>
    <t>Kvardrat meter prisen</t>
  </si>
  <si>
    <t>Du skal være opmærksom på alle de ekstra ting du kan skrive for, Kantskinner, skråsnit, udskæringer og MEGET mere.</t>
  </si>
  <si>
    <t>Slå op i prislisten eller ring til din opmåler!</t>
  </si>
  <si>
    <t>REGNSKABS NUMMER 2, LETTE SKILLEVÆGGE.</t>
  </si>
  <si>
    <t>REGNSKABS NUMMER 3, LETTE SKILLEVÆGGE.</t>
  </si>
  <si>
    <t>REGNSKABS NUMMER 4, LETTE SKILLEVÆGGE.</t>
  </si>
  <si>
    <t>Ændringer af stilladshøjde:</t>
  </si>
  <si>
    <t>Her er indregnet at dækket opsættes i 3,2m (5m-1,8m)</t>
  </si>
  <si>
    <t>derefter rykkes det ned til 1,8m over gulv og så tilbage til 3,2</t>
  </si>
  <si>
    <t>altså én ændring ned på 1,4m og én op på 1,4 m</t>
  </si>
  <si>
    <t>Stillads ben:</t>
  </si>
  <si>
    <t>Jumbo stilladser forskriver at ved dækhøjder over 2,5m skal der</t>
  </si>
  <si>
    <t>monteres ben, dette kan ændre sig ved andre stillads typer.</t>
  </si>
  <si>
    <t>Her er indregnet 2 støtteben, én gang ved opstilling</t>
  </si>
  <si>
    <t>REGNSKABS NUMMER 5, LETTE SKILLEVÆGGE.</t>
  </si>
  <si>
    <t>Her er indregnet at dækket opsættes i 5m (6,8m-1,8m)</t>
  </si>
  <si>
    <t>derefter rykkes det ned til 1,8m over gulv, så op til 3,6m og så tilbage til 5</t>
  </si>
  <si>
    <t>altså én ændring ned på 3,2m og to op, på i alt 3,2 m</t>
  </si>
  <si>
    <t>Her er indregnet 2 støtteben, én gang ved opstilling.</t>
  </si>
  <si>
    <t>REGNSKABS NUMMER 6, LETTE SKILLEVÆGGE.</t>
  </si>
  <si>
    <t>REGNSKABS NUMMER 7, LETTE SKILLEVÆGGE.</t>
  </si>
  <si>
    <t>REGNSKABS NUMMER 8, LETTE SKILLEVÆGGE.</t>
  </si>
  <si>
    <t>REGNSKABS NUMMER 9, LETTE SKILLEVÆGGE.</t>
  </si>
  <si>
    <t>og for én flytning.</t>
  </si>
  <si>
    <t>REGNSKABS NUMMER 10, LETTE SKILLEVÆGGE.</t>
  </si>
  <si>
    <t>REGNSKABS NUMMER 11, LETTE SKILLEVÆGGE.</t>
  </si>
  <si>
    <t>REGNSKABS NUMMER 12, LETTE SKILLEVÆGGE.</t>
  </si>
  <si>
    <t>REGNSKABS NUMMER 13, LETTE SKILLEVÆGGE.</t>
  </si>
  <si>
    <t>REGNSKABS NUMMER 14, LETTE SKILLEVÆGGE.</t>
  </si>
  <si>
    <t>06SB07</t>
  </si>
  <si>
    <t>Højdetillæg, for hver påbegyndt 1,8m over 4,2 m</t>
  </si>
  <si>
    <t>og for 7 flytninger.</t>
  </si>
  <si>
    <t>REGNSKABS NUMMER 15, LETTE SKILLEVÆGGE.</t>
  </si>
  <si>
    <t>REGNSKABS NUMMER 16, LETTE SKILLEVÆGGE.</t>
  </si>
  <si>
    <t>REGNSKABS NUMMER 17, LETTE SKILLEVÆGGE.</t>
  </si>
  <si>
    <t>REGNSKABS NUMMER 18, LETTE SKILLEVÆGGE.</t>
  </si>
  <si>
    <t>REGNSKABS NUMMER 19, LETTE SKILLEVÆGGE.</t>
  </si>
  <si>
    <t>REGNSKABS NUMMER 20, LETTE SKILLEVÆGGE.</t>
  </si>
  <si>
    <t>REGNSKABS NUMMER 21, LETTE SKILLEVÆGGE.</t>
  </si>
  <si>
    <t>REGNSKABS NUMMER 22, LETTE SKILLEVÆGGE.</t>
  </si>
  <si>
    <t>REGNSKABS NUMMER 23, LETTE SKILLEVÆGGE.</t>
  </si>
  <si>
    <t>REGNSKABS NUMMER 24, LETTE SKILLEVÆGGE.</t>
  </si>
  <si>
    <t>REGNSKABS NUMMER 25, LETTE SKILLEVÆGGE.</t>
  </si>
  <si>
    <t>REGNSKABS NUMMER 26, LETTE SKILLEVÆGGE.</t>
  </si>
  <si>
    <t>REGNSKABS NUMMER 27, LETTE SKILLEVÆGGE.</t>
  </si>
  <si>
    <t>REGNSKABS NUMMER 28, LETTE SKILLEVÆGGE.</t>
  </si>
  <si>
    <t>REGNSKABS NUMMER 29, LETTE SKILLEVÆGGE.</t>
  </si>
  <si>
    <t>REGNSKABS NUMMER 30, LETTE SKILLEVÆGGE.</t>
  </si>
  <si>
    <t>REGNSKABS NUMMER 31, LETTE SKILLEVÆGGE.</t>
  </si>
  <si>
    <t>REGNSKABS NUMMER 32, LETTE SKILLEVÆGGE.</t>
  </si>
  <si>
    <t>REGNSKABS NUMMER 33, LETTE SKILLEVÆGGE.</t>
  </si>
  <si>
    <t>REGNSKABS NUMMER 34, LETTE SKILLEVÆGGE.</t>
  </si>
  <si>
    <t>REGNSKABS NUMMER 35, LETTE SKILLEVÆGGE.</t>
  </si>
  <si>
    <t>REGNSKABS NUMMER 36, LETTE SKILLEVÆGGE.</t>
  </si>
  <si>
    <t>REGNSKABS NUMMER 37, LETTE SKILLEVÆGGE.</t>
  </si>
  <si>
    <t>REGNSKABS NUMMER 38, LETTE SKILLEVÆGGE.</t>
  </si>
  <si>
    <t>REGNSKABS NUMMER 39, LETTE SKILLEVÆGGE.</t>
  </si>
  <si>
    <t>REGNSKABS NUMMER 40, LETTE SKILLEVÆGGE.</t>
  </si>
  <si>
    <t>REGNSKABS NUMMER 41, LETTE SKILLEVÆGGE.</t>
  </si>
  <si>
    <t>REGNSKABS NUMMER 42, LETTE SKILLEVÆGGE.</t>
  </si>
  <si>
    <t>REGNSKABS NUMMER 43, LETTE SKILLEVÆGGE.</t>
  </si>
  <si>
    <t>REGNSKABS NUMMER 44, LETTE SKILLEVÆGGE.</t>
  </si>
  <si>
    <t>REGNSKABS NUMMER 45, LETTE SKILLEVÆGGE.</t>
  </si>
  <si>
    <t xml:space="preserve">Gradueringen er over </t>
  </si>
  <si>
    <t>REGNSKABS NUMMER 46, LETTE SKILLEVÆGGE.</t>
  </si>
  <si>
    <t>Gradueringen er over</t>
  </si>
  <si>
    <t>REGNSKABS NUMMER 47, LETTE SKILLEVÆGGE.</t>
  </si>
  <si>
    <t>REGNSKABS NUMMER 48, LETTE SKILLEVÆGGE.</t>
  </si>
  <si>
    <t>REGNSKABS NUMMER 49, LETTE SKILLEVÆGGE.</t>
  </si>
  <si>
    <t>REGNSKABS NUMMER 50, LETTE SKILLEVÆGGE.</t>
  </si>
  <si>
    <t>REGNSKABS NUMMER 51, LETTE SKILLEVÆGGE.</t>
  </si>
  <si>
    <t>REGNSKABS NUMMER 52, LETTE SKILLEVÆGGE.</t>
  </si>
  <si>
    <t>REGNSKABS NUMMER 53, LETTE SKILLEVÆGGE.</t>
  </si>
  <si>
    <t>REGNSKABS NUMMER 54, LETTE SKILLEVÆGGE.</t>
  </si>
  <si>
    <t>REGNSKABS NUMMER 55, LETTE SKILLEVÆGGE.</t>
  </si>
  <si>
    <t>REGNSKABS NUMMER 56, LETTE SKILLEVÆGGE.</t>
  </si>
  <si>
    <t>REGNSKABS NUMMER 57, LETTE SKILLEVÆGGE.</t>
  </si>
  <si>
    <t>REGNSKABS NUMMER 58, LETTE SKILLEVÆGGE.</t>
  </si>
  <si>
    <t>REGNSKABS NUMMER 59, LETTE SKILLEVÆGGE.</t>
  </si>
  <si>
    <t>Dette ark må KUN opdateres via det selvstændige regneark "Prislistetillæg"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</si>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</sst>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kr.&quot;\ * #,##0.00_ ;_ &quot;kr.&quot;\ * \-#,##0.00_ ;_ &quot;kr.&quot;\ * &quot;-&quot;??_ ;_ @_ "/>
    <numFmt numFmtId="165" formatCode="0.0000"/>
    <numFmt numFmtId="166" formatCode="0.000"/>
    <numFmt numFmtId="167" formatCode="0.0%"/>
  </numFmts>
  <fonts count="20"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9"/>
      <color indexed="10"/>
      <name val="Arial"/>
      <family val="2"/>
    </font>
    <font>
      <sz val="10"/>
      <color rgb="FF00B050"/>
      <name val="Arial"/>
      <family val="2"/>
    </font>
    <font>
      <sz val="10"/>
      <color rgb="FF00B050"/>
      <name val="Verdana"/>
      <family val="2"/>
    </font>
    <font>
      <sz val="10"/>
      <color theme="9" tint="-0.249977111117893"/>
      <name val="Verdana"/>
      <family val="2"/>
    </font>
    <font>
      <b/>
      <sz val="20"/>
      <color theme="1"/>
      <name val="Verdana"/>
      <family val="2"/>
    </font>
    <font>
      <u/>
      <sz val="10"/>
      <color theme="10"/>
      <name val="Verdana"/>
      <family val="2"/>
    </font>
    <font>
      <u/>
      <sz val="10"/>
      <color rgb="FFFF0000"/>
      <name val="Verdana"/>
      <family val="2"/>
    </font>
    <font>
      <u/>
      <sz val="10"/>
      <color rgb="FF00B050"/>
      <name val="Verdana"/>
      <family val="2"/>
    </font>
    <font>
      <u/>
      <sz val="10"/>
      <color rgb="FF0033CC"/>
      <name val="Verdana"/>
      <family val="2"/>
    </font>
    <font>
      <u/>
      <sz val="10"/>
      <color rgb="FFE26B0A"/>
      <name val="Verdana"/>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9"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1" fillId="0" borderId="0"/>
    <xf numFmtId="164" fontId="8" fillId="0" borderId="0" applyFont="0" applyFill="0" applyBorder="0" applyAlignment="0" applyProtection="0"/>
    <xf numFmtId="0" fontId="15" fillId="0" borderId="0" applyNumberFormat="0" applyFill="0" applyBorder="0" applyAlignment="0" applyProtection="0"/>
  </cellStyleXfs>
  <cellXfs count="132">
    <xf numFmtId="0" fontId="0" fillId="0" borderId="0" xfId="0"/>
    <xf numFmtId="0" fontId="1" fillId="0" borderId="0" xfId="1"/>
    <xf numFmtId="0" fontId="0" fillId="0" borderId="1" xfId="0" applyBorder="1"/>
    <xf numFmtId="0" fontId="0" fillId="0" borderId="4" xfId="0" applyBorder="1"/>
    <xf numFmtId="0" fontId="0" fillId="0" borderId="6" xfId="0" applyBorder="1"/>
    <xf numFmtId="49" fontId="0" fillId="0" borderId="0" xfId="0" applyNumberFormat="1" applyAlignment="1">
      <alignment horizontal="left" wrapText="1"/>
    </xf>
    <xf numFmtId="0" fontId="0" fillId="0" borderId="0" xfId="0" applyAlignment="1">
      <alignment horizontal="left" wrapText="1"/>
    </xf>
    <xf numFmtId="0" fontId="1" fillId="0" borderId="1" xfId="1" applyBorder="1"/>
    <xf numFmtId="0" fontId="6" fillId="0" borderId="1" xfId="1" applyFont="1" applyBorder="1"/>
    <xf numFmtId="0" fontId="2" fillId="0" borderId="1" xfId="1" applyFont="1" applyBorder="1"/>
    <xf numFmtId="0" fontId="4" fillId="0" borderId="1" xfId="1" applyFont="1" applyBorder="1"/>
    <xf numFmtId="0" fontId="3" fillId="0" borderId="1" xfId="1" applyFont="1" applyBorder="1"/>
    <xf numFmtId="0" fontId="5" fillId="0" borderId="1" xfId="1" applyFont="1" applyBorder="1"/>
    <xf numFmtId="0" fontId="1" fillId="0" borderId="1" xfId="1" applyBorder="1" applyAlignment="1">
      <alignment vertical="center"/>
    </xf>
    <xf numFmtId="0" fontId="1" fillId="0" borderId="2" xfId="1" applyBorder="1"/>
    <xf numFmtId="0" fontId="1" fillId="0" borderId="3" xfId="1" applyBorder="1"/>
    <xf numFmtId="0" fontId="6" fillId="0" borderId="3" xfId="1" applyFont="1" applyBorder="1"/>
    <xf numFmtId="0" fontId="1" fillId="0" borderId="5" xfId="1" applyBorder="1"/>
    <xf numFmtId="0" fontId="1" fillId="0" borderId="5" xfId="1" applyBorder="1" applyAlignment="1">
      <alignment vertical="center" wrapText="1"/>
    </xf>
    <xf numFmtId="0" fontId="6" fillId="0" borderId="6" xfId="1" applyFont="1" applyBorder="1"/>
    <xf numFmtId="0" fontId="1" fillId="0" borderId="7" xfId="1" applyBorder="1"/>
    <xf numFmtId="0" fontId="1" fillId="0" borderId="8" xfId="1" applyBorder="1"/>
    <xf numFmtId="0" fontId="2" fillId="0" borderId="8" xfId="1" applyFont="1" applyBorder="1"/>
    <xf numFmtId="0" fontId="6" fillId="0" borderId="9" xfId="1" applyFont="1" applyBorder="1"/>
    <xf numFmtId="49" fontId="0" fillId="0" borderId="0" xfId="0" applyNumberFormat="1" applyAlignment="1">
      <alignment wrapText="1"/>
    </xf>
    <xf numFmtId="49" fontId="0" fillId="0" borderId="2" xfId="0" applyNumberFormat="1" applyBorder="1"/>
    <xf numFmtId="49" fontId="0" fillId="0" borderId="5" xfId="0" applyNumberFormat="1" applyBorder="1"/>
    <xf numFmtId="2" fontId="0" fillId="0" borderId="1" xfId="2" applyNumberFormat="1" applyFont="1" applyBorder="1"/>
    <xf numFmtId="164" fontId="0" fillId="0" borderId="1" xfId="2" applyFont="1" applyBorder="1"/>
    <xf numFmtId="49" fontId="0" fillId="0" borderId="11" xfId="0" applyNumberFormat="1" applyBorder="1"/>
    <xf numFmtId="164" fontId="0" fillId="0" borderId="3" xfId="2" applyFont="1" applyBorder="1"/>
    <xf numFmtId="164" fontId="0" fillId="0" borderId="6" xfId="0" applyNumberFormat="1" applyBorder="1"/>
    <xf numFmtId="49" fontId="0" fillId="0" borderId="7" xfId="0" applyNumberFormat="1" applyBorder="1"/>
    <xf numFmtId="2" fontId="0" fillId="0" borderId="8" xfId="2" applyNumberFormat="1" applyFont="1" applyBorder="1"/>
    <xf numFmtId="0" fontId="0" fillId="2" borderId="14" xfId="0" applyFill="1" applyBorder="1"/>
    <xf numFmtId="0" fontId="0" fillId="2" borderId="13" xfId="0" applyFill="1" applyBorder="1"/>
    <xf numFmtId="0" fontId="0" fillId="2" borderId="0" xfId="0" applyFill="1"/>
    <xf numFmtId="164" fontId="0" fillId="0" borderId="19" xfId="0" applyNumberFormat="1" applyBorder="1"/>
    <xf numFmtId="164" fontId="0" fillId="0" borderId="12" xfId="0" applyNumberFormat="1" applyBorder="1"/>
    <xf numFmtId="164" fontId="0" fillId="0" borderId="20" xfId="0" applyNumberFormat="1" applyBorder="1"/>
    <xf numFmtId="0" fontId="0" fillId="0" borderId="12" xfId="0" applyBorder="1"/>
    <xf numFmtId="164" fontId="0" fillId="0" borderId="21" xfId="2" applyFont="1"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0" fontId="0" fillId="0" borderId="22" xfId="0" applyBorder="1"/>
    <xf numFmtId="0" fontId="0" fillId="0" borderId="24" xfId="0" applyBorder="1"/>
    <xf numFmtId="164" fontId="0" fillId="2" borderId="24" xfId="0" applyNumberFormat="1" applyFill="1" applyBorder="1"/>
    <xf numFmtId="164" fontId="0" fillId="2" borderId="25" xfId="2" applyFont="1" applyFill="1" applyBorder="1"/>
    <xf numFmtId="164" fontId="0" fillId="0" borderId="26" xfId="0" applyNumberFormat="1" applyBorder="1"/>
    <xf numFmtId="164" fontId="0" fillId="0" borderId="0" xfId="0" applyNumberFormat="1"/>
    <xf numFmtId="164" fontId="0" fillId="0" borderId="12" xfId="2" applyFont="1" applyBorder="1"/>
    <xf numFmtId="0" fontId="2" fillId="0" borderId="1" xfId="1" applyFont="1" applyBorder="1" applyAlignment="1">
      <alignment horizontal="center" vertical="center" wrapText="1"/>
    </xf>
    <xf numFmtId="0" fontId="5" fillId="0" borderId="1" xfId="1" applyFont="1" applyBorder="1" applyAlignment="1">
      <alignment horizontal="center" wrapText="1"/>
    </xf>
    <xf numFmtId="0" fontId="6" fillId="0" borderId="1" xfId="1" applyFont="1" applyBorder="1" applyAlignment="1">
      <alignment horizontal="center" wrapText="1"/>
    </xf>
    <xf numFmtId="9" fontId="0" fillId="0" borderId="1" xfId="2" applyNumberFormat="1" applyFont="1" applyBorder="1" applyAlignment="1">
      <alignment horizontal="center"/>
    </xf>
    <xf numFmtId="2" fontId="2" fillId="0" borderId="1" xfId="1" applyNumberFormat="1" applyFont="1" applyBorder="1"/>
    <xf numFmtId="2" fontId="5" fillId="0" borderId="1" xfId="1" applyNumberFormat="1" applyFont="1" applyBorder="1"/>
    <xf numFmtId="2" fontId="6" fillId="0" borderId="1" xfId="1" applyNumberFormat="1" applyFont="1" applyBorder="1"/>
    <xf numFmtId="2" fontId="2" fillId="0" borderId="8" xfId="1" applyNumberFormat="1" applyFont="1" applyBorder="1" applyAlignment="1">
      <alignment horizontal="center"/>
    </xf>
    <xf numFmtId="0" fontId="5" fillId="0" borderId="8" xfId="1" applyFont="1" applyBorder="1"/>
    <xf numFmtId="2" fontId="5" fillId="0" borderId="8" xfId="1" applyNumberFormat="1" applyFont="1" applyBorder="1"/>
    <xf numFmtId="2" fontId="6" fillId="0" borderId="8" xfId="1" applyNumberFormat="1" applyFont="1" applyBorder="1"/>
    <xf numFmtId="0" fontId="11" fillId="0" borderId="1" xfId="1" applyFont="1" applyBorder="1"/>
    <xf numFmtId="0" fontId="11" fillId="0" borderId="1" xfId="1" applyFont="1" applyBorder="1" applyAlignment="1">
      <alignment horizontal="center" wrapText="1"/>
    </xf>
    <xf numFmtId="0" fontId="12" fillId="0" borderId="1" xfId="0" applyFont="1" applyBorder="1"/>
    <xf numFmtId="2" fontId="11" fillId="0" borderId="1" xfId="1" applyNumberFormat="1" applyFont="1" applyBorder="1"/>
    <xf numFmtId="0" fontId="11" fillId="0" borderId="8" xfId="1" applyFont="1" applyBorder="1"/>
    <xf numFmtId="2" fontId="11" fillId="0" borderId="8" xfId="1" applyNumberFormat="1" applyFont="1" applyBorder="1"/>
    <xf numFmtId="0" fontId="13" fillId="0" borderId="6" xfId="0" applyFont="1" applyBorder="1"/>
    <xf numFmtId="0" fontId="13" fillId="0" borderId="1" xfId="0" applyFont="1" applyBorder="1"/>
    <xf numFmtId="164" fontId="0" fillId="0" borderId="6" xfId="2" applyFont="1" applyBorder="1"/>
    <xf numFmtId="167" fontId="0" fillId="0" borderId="1" xfId="2" applyNumberFormat="1" applyFont="1" applyBorder="1" applyAlignment="1">
      <alignment horizontal="center"/>
    </xf>
    <xf numFmtId="0" fontId="7" fillId="0" borderId="0" xfId="0" applyFont="1" applyAlignment="1">
      <alignment horizontal="center"/>
    </xf>
    <xf numFmtId="0" fontId="9" fillId="0" borderId="0" xfId="0" applyFont="1" applyAlignment="1">
      <alignment horizontal="center"/>
    </xf>
    <xf numFmtId="49" fontId="9" fillId="0" borderId="0" xfId="0" applyNumberFormat="1" applyFont="1"/>
    <xf numFmtId="0" fontId="9" fillId="0" borderId="0" xfId="0" applyFont="1"/>
    <xf numFmtId="0" fontId="0" fillId="2" borderId="18" xfId="0" applyFill="1" applyBorder="1" applyAlignment="1">
      <alignment horizontal="center" vertical="center"/>
    </xf>
    <xf numFmtId="0" fontId="0" fillId="2" borderId="25" xfId="0" applyFill="1" applyBorder="1" applyAlignment="1">
      <alignment horizontal="center" vertical="center"/>
    </xf>
    <xf numFmtId="0" fontId="0" fillId="0" borderId="2" xfId="0" applyBorder="1"/>
    <xf numFmtId="2" fontId="0" fillId="0" borderId="10" xfId="2" applyNumberFormat="1" applyFont="1" applyBorder="1" applyAlignment="1">
      <alignment horizontal="center"/>
    </xf>
    <xf numFmtId="0" fontId="0" fillId="0" borderId="23" xfId="0" applyBorder="1" applyAlignment="1">
      <alignment horizontal="center"/>
    </xf>
    <xf numFmtId="0" fontId="0" fillId="0" borderId="3" xfId="0" applyBorder="1" applyAlignment="1">
      <alignment horizontal="center"/>
    </xf>
    <xf numFmtId="0" fontId="16" fillId="0" borderId="1" xfId="3" applyFont="1" applyBorder="1"/>
    <xf numFmtId="0" fontId="17" fillId="0" borderId="1" xfId="3" applyFont="1" applyBorder="1"/>
    <xf numFmtId="0" fontId="18" fillId="0" borderId="1" xfId="3" applyFont="1" applyBorder="1"/>
    <xf numFmtId="0" fontId="19" fillId="0" borderId="1" xfId="3" applyFont="1" applyBorder="1"/>
    <xf numFmtId="0" fontId="17" fillId="0" borderId="8" xfId="3" applyFont="1" applyBorder="1"/>
    <xf numFmtId="0" fontId="18" fillId="0" borderId="8" xfId="3" applyFont="1" applyBorder="1"/>
    <xf numFmtId="0" fontId="19" fillId="0" borderId="8" xfId="3" applyFont="1" applyBorder="1"/>
    <xf numFmtId="0" fontId="1" fillId="0" borderId="3" xfId="1" applyBorder="1" applyAlignment="1">
      <alignment wrapText="1"/>
    </xf>
    <xf numFmtId="49" fontId="0" fillId="0" borderId="0" xfId="0" applyNumberFormat="1" applyAlignment="1">
      <alignment horizontal="left" wrapText="1"/>
    </xf>
    <xf numFmtId="0" fontId="7" fillId="0" borderId="0" xfId="0" applyFont="1" applyAlignment="1">
      <alignment horizont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164" fontId="0" fillId="0" borderId="1" xfId="2" applyFont="1" applyBorder="1" applyAlignment="1">
      <alignment horizontal="left" wrapText="1"/>
    </xf>
    <xf numFmtId="0" fontId="9" fillId="3" borderId="15" xfId="0" applyFont="1" applyFill="1" applyBorder="1" applyAlignment="1">
      <alignment horizontal="center"/>
    </xf>
    <xf numFmtId="0" fontId="9" fillId="3" borderId="16" xfId="0" applyFont="1" applyFill="1" applyBorder="1" applyAlignment="1">
      <alignment horizontal="center"/>
    </xf>
    <xf numFmtId="0" fontId="9" fillId="3" borderId="17" xfId="0" applyFont="1" applyFill="1" applyBorder="1" applyAlignment="1">
      <alignment horizontal="center"/>
    </xf>
    <xf numFmtId="0" fontId="0" fillId="0" borderId="1" xfId="0" applyBorder="1" applyAlignment="1">
      <alignment horizontal="left" wrapText="1"/>
    </xf>
    <xf numFmtId="0" fontId="0" fillId="2" borderId="12" xfId="0" applyFill="1" applyBorder="1" applyAlignment="1">
      <alignment horizontal="center"/>
    </xf>
    <xf numFmtId="0" fontId="0" fillId="2" borderId="13" xfId="0" applyFill="1" applyBorder="1" applyAlignment="1">
      <alignment horizontal="center"/>
    </xf>
    <xf numFmtId="0" fontId="0" fillId="0" borderId="22"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164" fontId="0" fillId="0" borderId="8" xfId="2" applyFont="1" applyBorder="1" applyAlignment="1">
      <alignment horizontal="left" wrapText="1"/>
    </xf>
    <xf numFmtId="164" fontId="0" fillId="0" borderId="10" xfId="2" applyFont="1" applyBorder="1" applyAlignment="1">
      <alignment horizontal="center"/>
    </xf>
    <xf numFmtId="0" fontId="0" fillId="0" borderId="3" xfId="0" applyBorder="1" applyAlignment="1">
      <alignment horizontal="left" wrapText="1"/>
    </xf>
    <xf numFmtId="164" fontId="0" fillId="0" borderId="12" xfId="2" applyFont="1" applyBorder="1" applyAlignment="1">
      <alignment horizontal="left" wrapText="1"/>
    </xf>
    <xf numFmtId="164" fontId="0" fillId="0" borderId="13" xfId="2" applyFont="1" applyBorder="1" applyAlignment="1">
      <alignment horizontal="left" wrapText="1"/>
    </xf>
    <xf numFmtId="164" fontId="0" fillId="0" borderId="14" xfId="2" applyFont="1" applyBorder="1" applyAlignment="1">
      <alignment horizontal="left"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164" fontId="0" fillId="0" borderId="21" xfId="2" applyFont="1" applyBorder="1" applyAlignment="1">
      <alignment horizontal="left" wrapText="1"/>
    </xf>
    <xf numFmtId="164" fontId="0" fillId="0" borderId="27" xfId="2" applyFont="1" applyBorder="1" applyAlignment="1">
      <alignment horizontal="left" wrapText="1"/>
    </xf>
    <xf numFmtId="164" fontId="0" fillId="0" borderId="28" xfId="2" applyFont="1" applyBorder="1" applyAlignment="1">
      <alignment horizontal="left" wrapText="1"/>
    </xf>
    <xf numFmtId="0" fontId="9" fillId="4" borderId="15" xfId="0" applyFont="1" applyFill="1" applyBorder="1" applyAlignment="1">
      <alignment horizontal="center"/>
    </xf>
    <xf numFmtId="0" fontId="9" fillId="4" borderId="16" xfId="0" applyFont="1" applyFill="1" applyBorder="1" applyAlignment="1">
      <alignment horizontal="center"/>
    </xf>
    <xf numFmtId="0" fontId="9" fillId="4" borderId="17" xfId="0" applyFont="1" applyFill="1" applyBorder="1" applyAlignment="1">
      <alignment horizontal="center"/>
    </xf>
    <xf numFmtId="0" fontId="9" fillId="5" borderId="15" xfId="0" applyFont="1" applyFill="1" applyBorder="1" applyAlignment="1">
      <alignment horizontal="center"/>
    </xf>
    <xf numFmtId="0" fontId="9" fillId="5" borderId="16" xfId="0" applyFont="1" applyFill="1" applyBorder="1" applyAlignment="1">
      <alignment horizontal="center"/>
    </xf>
    <xf numFmtId="0" fontId="9" fillId="5" borderId="17" xfId="0" applyFont="1" applyFill="1" applyBorder="1" applyAlignment="1">
      <alignment horizontal="center"/>
    </xf>
    <xf numFmtId="0" fontId="9" fillId="6" borderId="15" xfId="0" applyFont="1" applyFill="1" applyBorder="1" applyAlignment="1">
      <alignment horizont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0" xfId="0"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54"/>
  <sheetViews>
    <sheetView tabSelected="1" workbookViewId="0">
      <selection activeCell="D31" sqref="D31"/>
    </sheetView>
  </sheetViews>
  <sheetFormatPr defaultRowHeight="13.5" x14ac:dyDescent="0.3"/>
  <cols>
    <col min="1" max="1" width="9.765625" customWidth="1"/>
    <col min="2" max="3" width="8.765625" customWidth="1"/>
    <col min="4" max="4" width="7.15234375" customWidth="1"/>
    <col min="5" max="5" width="5.61328125" customWidth="1"/>
    <col min="6" max="6" width="8.765625" customWidth="1"/>
    <col min="7" max="7" width="7.15234375" customWidth="1"/>
    <col min="8" max="8" width="5.61328125" customWidth="1"/>
    <col min="9" max="9" width="8.765625" customWidth="1"/>
    <col min="10" max="10" width="7.15234375" customWidth="1"/>
    <col min="11" max="11" width="5.61328125" customWidth="1"/>
    <col min="12" max="12" width="8.765625" customWidth="1"/>
    <col min="13" max="13" width="7.15234375" customWidth="1"/>
    <col min="14" max="14" width="5.61328125" customWidth="1"/>
    <col min="15" max="15" width="10.765625" customWidth="1"/>
  </cols>
  <sheetData>
    <row r="2" spans="1:15" x14ac:dyDescent="0.3">
      <c r="A2" s="93" t="s">
        <v>0</v>
      </c>
      <c r="B2" s="93"/>
      <c r="C2" s="93"/>
      <c r="D2" s="93"/>
      <c r="E2" s="93"/>
      <c r="F2" s="93"/>
      <c r="G2" s="93"/>
      <c r="H2" s="93"/>
      <c r="I2" s="93"/>
      <c r="J2" s="93"/>
      <c r="K2" s="93"/>
      <c r="L2" s="93"/>
      <c r="M2" s="93"/>
      <c r="N2" s="93"/>
      <c r="O2" s="93"/>
    </row>
    <row r="3" spans="1:15" x14ac:dyDescent="0.3">
      <c r="A3" s="93"/>
      <c r="B3" s="93"/>
      <c r="C3" s="93"/>
      <c r="D3" s="93"/>
      <c r="E3" s="93"/>
      <c r="F3" s="93"/>
      <c r="G3" s="93"/>
      <c r="H3" s="93"/>
      <c r="I3" s="93"/>
      <c r="J3" s="93"/>
      <c r="K3" s="93"/>
      <c r="L3" s="93"/>
      <c r="M3" s="93"/>
      <c r="N3" s="93"/>
      <c r="O3" s="93"/>
    </row>
    <row r="4" spans="1:15" ht="24.5" x14ac:dyDescent="0.45">
      <c r="A4" s="74"/>
      <c r="B4" s="74"/>
      <c r="C4" s="74"/>
      <c r="D4" s="74"/>
      <c r="E4" s="74"/>
      <c r="F4" s="74"/>
      <c r="G4" s="74"/>
      <c r="H4" s="74"/>
      <c r="I4" s="74"/>
      <c r="J4" s="74"/>
      <c r="K4" s="74"/>
      <c r="L4" s="74"/>
      <c r="M4" s="74"/>
      <c r="N4" s="74"/>
      <c r="O4" s="74"/>
    </row>
    <row r="5" spans="1:15" ht="24.5" x14ac:dyDescent="0.45">
      <c r="A5" s="94" t="s">
        <v>1</v>
      </c>
      <c r="B5" s="94"/>
      <c r="C5" s="94"/>
      <c r="D5" s="94"/>
      <c r="E5" s="94"/>
      <c r="F5" s="94"/>
      <c r="G5" s="94"/>
      <c r="H5" s="94"/>
      <c r="I5" s="94"/>
      <c r="J5" s="94"/>
      <c r="K5" s="94"/>
      <c r="L5" s="94"/>
      <c r="M5" s="94"/>
      <c r="N5" s="94"/>
      <c r="O5" s="94"/>
    </row>
    <row r="6" spans="1:15" ht="12.75" customHeight="1" x14ac:dyDescent="0.3">
      <c r="A6" s="95" t="s">
        <v>2</v>
      </c>
      <c r="B6" s="95"/>
      <c r="C6" s="95"/>
      <c r="D6" s="95"/>
      <c r="E6" s="95"/>
      <c r="F6" s="95"/>
      <c r="G6" s="95"/>
      <c r="H6" s="95"/>
      <c r="I6" s="95"/>
      <c r="J6" s="95"/>
      <c r="K6" s="95"/>
      <c r="L6" s="95"/>
      <c r="M6" s="95"/>
      <c r="N6" s="95"/>
      <c r="O6" s="95"/>
    </row>
    <row r="7" spans="1:15" ht="12.75" customHeight="1" x14ac:dyDescent="0.3">
      <c r="A7" s="96" t="s">
        <v>3</v>
      </c>
      <c r="B7" s="96"/>
      <c r="C7" s="96"/>
      <c r="D7" s="96"/>
      <c r="E7" s="96"/>
      <c r="F7" s="96"/>
      <c r="G7" s="96"/>
      <c r="H7" s="96"/>
      <c r="I7" s="96"/>
      <c r="J7" s="96"/>
      <c r="K7" s="75">
        <f>'[1]Prisliste tillæg'!$I$6</f>
        <v>2025</v>
      </c>
      <c r="L7" s="76" t="s">
        <v>4</v>
      </c>
      <c r="N7" s="76"/>
      <c r="O7" s="77"/>
    </row>
    <row r="9" spans="1:15" x14ac:dyDescent="0.3">
      <c r="A9" s="92" t="s">
        <v>5</v>
      </c>
      <c r="B9" s="92"/>
      <c r="C9" s="92"/>
      <c r="D9" s="92"/>
      <c r="E9" s="92"/>
      <c r="F9" s="92"/>
      <c r="G9" s="92"/>
      <c r="H9" s="92"/>
      <c r="I9" s="92"/>
      <c r="J9" s="92"/>
      <c r="K9" s="92"/>
      <c r="L9" s="92"/>
      <c r="M9" s="92"/>
      <c r="N9" s="92"/>
      <c r="O9" s="92"/>
    </row>
    <row r="10" spans="1:15" x14ac:dyDescent="0.3">
      <c r="A10" s="92"/>
      <c r="B10" s="92"/>
      <c r="C10" s="92"/>
      <c r="D10" s="92"/>
      <c r="E10" s="92"/>
      <c r="F10" s="92"/>
      <c r="G10" s="92"/>
      <c r="H10" s="92"/>
      <c r="I10" s="92"/>
      <c r="J10" s="92"/>
      <c r="K10" s="92"/>
      <c r="L10" s="92"/>
      <c r="M10" s="92"/>
      <c r="N10" s="92"/>
      <c r="O10" s="92"/>
    </row>
    <row r="12" spans="1:15" x14ac:dyDescent="0.3">
      <c r="A12" s="92" t="s">
        <v>6</v>
      </c>
      <c r="B12" s="92"/>
      <c r="C12" s="92"/>
      <c r="D12" s="92"/>
      <c r="E12" s="92"/>
      <c r="F12" s="92"/>
      <c r="G12" s="92"/>
      <c r="H12" s="92"/>
      <c r="I12" s="92"/>
      <c r="J12" s="92"/>
      <c r="K12" s="92"/>
      <c r="L12" s="92"/>
      <c r="M12" s="92"/>
      <c r="N12" s="92"/>
      <c r="O12" s="92"/>
    </row>
    <row r="13" spans="1:15" x14ac:dyDescent="0.3">
      <c r="A13" s="92"/>
      <c r="B13" s="92"/>
      <c r="C13" s="92"/>
      <c r="D13" s="92"/>
      <c r="E13" s="92"/>
      <c r="F13" s="92"/>
      <c r="G13" s="92"/>
      <c r="H13" s="92"/>
      <c r="I13" s="92"/>
      <c r="J13" s="92"/>
      <c r="K13" s="92"/>
      <c r="L13" s="92"/>
      <c r="M13" s="92"/>
      <c r="N13" s="92"/>
      <c r="O13" s="92"/>
    </row>
    <row r="14" spans="1:15" x14ac:dyDescent="0.3">
      <c r="A14" s="6"/>
      <c r="B14" s="6"/>
      <c r="C14" s="6"/>
      <c r="D14" s="6"/>
      <c r="E14" s="6"/>
      <c r="F14" s="6"/>
      <c r="G14" s="6"/>
      <c r="H14" s="6"/>
      <c r="I14" s="6"/>
      <c r="J14" s="6"/>
      <c r="K14" s="6"/>
      <c r="L14" s="6"/>
      <c r="M14" s="6"/>
      <c r="N14" s="6"/>
      <c r="O14" s="6"/>
    </row>
    <row r="15" spans="1:15" x14ac:dyDescent="0.3">
      <c r="A15" s="92" t="s">
        <v>7</v>
      </c>
      <c r="B15" s="92"/>
      <c r="C15" s="92"/>
      <c r="D15" s="92"/>
      <c r="E15" s="92"/>
      <c r="F15" s="92"/>
      <c r="G15" s="92"/>
      <c r="H15" s="92"/>
      <c r="I15" s="92"/>
      <c r="J15" s="92"/>
      <c r="K15" s="92"/>
      <c r="L15" s="92"/>
      <c r="M15" s="92"/>
      <c r="N15" s="92"/>
      <c r="O15" s="92"/>
    </row>
    <row r="16" spans="1:15" x14ac:dyDescent="0.3">
      <c r="A16" s="5"/>
      <c r="B16" s="5"/>
      <c r="C16" s="5"/>
      <c r="D16" s="5"/>
      <c r="E16" s="5"/>
      <c r="F16" s="5"/>
      <c r="G16" s="5"/>
      <c r="H16" s="5"/>
      <c r="I16" s="5"/>
      <c r="J16" s="5"/>
      <c r="K16" s="5"/>
      <c r="L16" s="5"/>
      <c r="M16" s="5"/>
      <c r="N16" s="5"/>
      <c r="O16" s="5"/>
    </row>
    <row r="17" spans="1:15" x14ac:dyDescent="0.3">
      <c r="A17" s="92" t="s">
        <v>8</v>
      </c>
      <c r="B17" s="92"/>
      <c r="C17" s="92"/>
      <c r="D17" s="92"/>
      <c r="E17" s="92"/>
      <c r="F17" s="92"/>
      <c r="G17" s="92"/>
      <c r="H17" s="92"/>
      <c r="I17" s="92"/>
      <c r="J17" s="92"/>
      <c r="K17" s="92"/>
      <c r="L17" s="92"/>
      <c r="M17" s="92"/>
      <c r="N17" s="92"/>
      <c r="O17" s="92"/>
    </row>
    <row r="18" spans="1:15" x14ac:dyDescent="0.3">
      <c r="A18" s="92"/>
      <c r="B18" s="92"/>
      <c r="C18" s="92"/>
      <c r="D18" s="92"/>
      <c r="E18" s="92"/>
      <c r="F18" s="92"/>
      <c r="G18" s="92"/>
      <c r="H18" s="92"/>
      <c r="I18" s="92"/>
      <c r="J18" s="92"/>
      <c r="K18" s="92"/>
      <c r="L18" s="92"/>
      <c r="M18" s="92"/>
      <c r="N18" s="92"/>
      <c r="O18" s="92"/>
    </row>
    <row r="19" spans="1:15" x14ac:dyDescent="0.3">
      <c r="A19" s="5"/>
      <c r="B19" s="5"/>
      <c r="C19" s="5"/>
      <c r="D19" s="5"/>
      <c r="E19" s="5"/>
      <c r="F19" s="5"/>
      <c r="G19" s="5"/>
      <c r="H19" s="5"/>
      <c r="I19" s="5"/>
      <c r="J19" s="5"/>
      <c r="K19" s="5"/>
      <c r="L19" s="5"/>
      <c r="M19" s="5"/>
      <c r="N19" s="5"/>
      <c r="O19" s="5"/>
    </row>
    <row r="20" spans="1:15" ht="26.25" customHeight="1" x14ac:dyDescent="0.3">
      <c r="A20" s="92" t="s">
        <v>9</v>
      </c>
      <c r="B20" s="92"/>
      <c r="C20" s="92"/>
      <c r="D20" s="92"/>
      <c r="E20" s="92"/>
      <c r="F20" s="92"/>
      <c r="G20" s="92"/>
      <c r="H20" s="92"/>
      <c r="I20" s="92"/>
      <c r="J20" s="92"/>
      <c r="K20" s="92"/>
      <c r="L20" s="92"/>
      <c r="M20" s="92"/>
      <c r="N20" s="92"/>
      <c r="O20" s="92"/>
    </row>
    <row r="21" spans="1:15" x14ac:dyDescent="0.3">
      <c r="A21" s="24"/>
      <c r="B21" s="24"/>
      <c r="C21" s="24"/>
      <c r="D21" s="24"/>
      <c r="E21" s="24"/>
      <c r="F21" s="24"/>
      <c r="G21" s="24"/>
      <c r="H21" s="24"/>
      <c r="I21" s="24"/>
      <c r="J21" s="24"/>
      <c r="K21" s="24"/>
      <c r="L21" s="24"/>
      <c r="M21" s="24"/>
      <c r="N21" s="24"/>
      <c r="O21" s="24"/>
    </row>
    <row r="22" spans="1:15" ht="26.25" customHeight="1" x14ac:dyDescent="0.3">
      <c r="A22" s="92" t="s">
        <v>10</v>
      </c>
      <c r="B22" s="92"/>
      <c r="C22" s="92"/>
      <c r="D22" s="92"/>
      <c r="E22" s="92"/>
      <c r="F22" s="92"/>
      <c r="G22" s="92"/>
      <c r="H22" s="92"/>
      <c r="I22" s="92"/>
      <c r="J22" s="92"/>
      <c r="K22" s="92"/>
      <c r="L22" s="92"/>
      <c r="M22" s="92"/>
      <c r="N22" s="92"/>
      <c r="O22" s="92"/>
    </row>
    <row r="23" spans="1:15" x14ac:dyDescent="0.3">
      <c r="A23" s="24"/>
      <c r="B23" s="24"/>
      <c r="C23" s="24"/>
      <c r="D23" s="24"/>
      <c r="E23" s="24"/>
      <c r="F23" s="24"/>
      <c r="G23" s="24"/>
      <c r="H23" s="24"/>
      <c r="I23" s="24"/>
      <c r="J23" s="24"/>
      <c r="K23" s="24"/>
      <c r="L23" s="24"/>
      <c r="M23" s="24"/>
      <c r="N23" s="24"/>
      <c r="O23" s="24"/>
    </row>
    <row r="24" spans="1:15" ht="14" thickBot="1" x14ac:dyDescent="0.35">
      <c r="A24" s="24"/>
      <c r="B24" s="24"/>
      <c r="C24" s="24"/>
      <c r="D24" s="24"/>
      <c r="E24" s="24"/>
      <c r="F24" s="24"/>
      <c r="G24" s="24"/>
      <c r="H24" s="24"/>
      <c r="I24" s="24"/>
      <c r="J24" s="24"/>
      <c r="K24" s="24"/>
      <c r="L24" s="24"/>
      <c r="M24" s="24"/>
      <c r="N24" s="24"/>
      <c r="O24" s="24"/>
    </row>
    <row r="25" spans="1:15" ht="38" x14ac:dyDescent="0.3">
      <c r="B25" s="14"/>
      <c r="C25" s="15"/>
      <c r="D25" s="91" t="s">
        <v>11</v>
      </c>
      <c r="E25" s="15"/>
      <c r="F25" s="15"/>
      <c r="G25" s="91" t="s">
        <v>11</v>
      </c>
      <c r="H25" s="15"/>
      <c r="I25" s="15"/>
      <c r="J25" s="91" t="s">
        <v>11</v>
      </c>
      <c r="K25" s="15"/>
      <c r="L25" s="15"/>
      <c r="M25" s="91" t="s">
        <v>11</v>
      </c>
      <c r="N25" s="16"/>
      <c r="O25" s="3"/>
    </row>
    <row r="26" spans="1:15" x14ac:dyDescent="0.3">
      <c r="B26" s="17"/>
      <c r="C26" s="7"/>
      <c r="D26" s="9"/>
      <c r="E26" s="9"/>
      <c r="F26" s="9"/>
      <c r="G26" s="10"/>
      <c r="H26" s="11"/>
      <c r="I26" s="11"/>
      <c r="J26" s="12"/>
      <c r="K26" s="12"/>
      <c r="L26" s="12"/>
      <c r="M26" s="8"/>
      <c r="N26" s="8"/>
      <c r="O26" s="4"/>
    </row>
    <row r="27" spans="1:15" ht="38" x14ac:dyDescent="0.3">
      <c r="B27" s="17"/>
      <c r="C27" s="7"/>
      <c r="D27" s="9"/>
      <c r="E27" s="53" t="s">
        <v>12</v>
      </c>
      <c r="F27" s="9"/>
      <c r="G27" s="64"/>
      <c r="H27" s="65" t="s">
        <v>13</v>
      </c>
      <c r="I27" s="64"/>
      <c r="J27" s="12"/>
      <c r="K27" s="54" t="s">
        <v>14</v>
      </c>
      <c r="L27" s="12"/>
      <c r="M27" s="8"/>
      <c r="N27" s="55" t="s">
        <v>15</v>
      </c>
      <c r="O27" s="70"/>
    </row>
    <row r="28" spans="1:15" ht="25" x14ac:dyDescent="0.3">
      <c r="B28" s="18" t="s">
        <v>16</v>
      </c>
      <c r="C28" s="13" t="s">
        <v>17</v>
      </c>
      <c r="D28" s="9"/>
      <c r="E28" s="2"/>
      <c r="F28" s="9"/>
      <c r="G28" s="64"/>
      <c r="H28" s="66"/>
      <c r="I28" s="64"/>
      <c r="J28" s="12"/>
      <c r="K28" s="2"/>
      <c r="L28" s="12"/>
      <c r="M28" s="8"/>
      <c r="N28" s="71"/>
      <c r="O28" s="70"/>
    </row>
    <row r="29" spans="1:15" x14ac:dyDescent="0.3">
      <c r="B29" s="17" t="s">
        <v>18</v>
      </c>
      <c r="C29" s="7" t="s">
        <v>19</v>
      </c>
      <c r="D29" s="84">
        <v>1</v>
      </c>
      <c r="E29" s="57">
        <f>'1'!K29</f>
        <v>218.40732352733642</v>
      </c>
      <c r="F29" s="9" t="s">
        <v>20</v>
      </c>
      <c r="G29" s="85">
        <v>15</v>
      </c>
      <c r="H29" s="67">
        <f>'15'!K29</f>
        <v>202.45463358783041</v>
      </c>
      <c r="I29" s="64" t="s">
        <v>20</v>
      </c>
      <c r="J29" s="86">
        <v>30</v>
      </c>
      <c r="K29" s="58">
        <f>'30'!K29</f>
        <v>197.10434680811915</v>
      </c>
      <c r="L29" s="12" t="s">
        <v>20</v>
      </c>
      <c r="M29" s="87">
        <v>45</v>
      </c>
      <c r="N29" s="59">
        <f>'45'!K29</f>
        <v>186.78009311393626</v>
      </c>
      <c r="O29" s="19" t="s">
        <v>20</v>
      </c>
    </row>
    <row r="30" spans="1:15" x14ac:dyDescent="0.3">
      <c r="B30" s="17"/>
      <c r="C30" s="7" t="s">
        <v>21</v>
      </c>
      <c r="D30" s="84">
        <v>2</v>
      </c>
      <c r="E30" s="57">
        <f>'2'!K29</f>
        <v>214.93240303257713</v>
      </c>
      <c r="F30" s="9" t="s">
        <v>20</v>
      </c>
      <c r="G30" s="85">
        <v>16</v>
      </c>
      <c r="H30" s="67">
        <f>'16'!K29</f>
        <v>198.97971309307107</v>
      </c>
      <c r="I30" s="64" t="s">
        <v>20</v>
      </c>
      <c r="J30" s="86">
        <v>31</v>
      </c>
      <c r="K30" s="58">
        <f>'31'!K29</f>
        <v>193.62942631335983</v>
      </c>
      <c r="L30" s="12" t="s">
        <v>20</v>
      </c>
      <c r="M30" s="87">
        <v>46</v>
      </c>
      <c r="N30" s="59">
        <f>'46'!K29</f>
        <v>183.30517261917694</v>
      </c>
      <c r="O30" s="19" t="s">
        <v>20</v>
      </c>
    </row>
    <row r="31" spans="1:15" x14ac:dyDescent="0.3">
      <c r="B31" s="17"/>
      <c r="C31" s="7" t="s">
        <v>22</v>
      </c>
      <c r="D31" s="84">
        <v>3</v>
      </c>
      <c r="E31" s="57">
        <f>'3'!K29</f>
        <v>205.08160076305387</v>
      </c>
      <c r="F31" s="9" t="s">
        <v>20</v>
      </c>
      <c r="G31" s="85">
        <v>17</v>
      </c>
      <c r="H31" s="67">
        <f>'17'!K29</f>
        <v>189.12891082354784</v>
      </c>
      <c r="I31" s="64" t="s">
        <v>20</v>
      </c>
      <c r="J31" s="86">
        <v>32</v>
      </c>
      <c r="K31" s="58">
        <f>'32'!K29</f>
        <v>183.7786240438366</v>
      </c>
      <c r="L31" s="12" t="s">
        <v>20</v>
      </c>
      <c r="M31" s="87">
        <v>47</v>
      </c>
      <c r="N31" s="59">
        <f>'47'!K29</f>
        <v>173.45437034965371</v>
      </c>
      <c r="O31" s="19" t="s">
        <v>20</v>
      </c>
    </row>
    <row r="32" spans="1:15" x14ac:dyDescent="0.3">
      <c r="B32" s="17"/>
      <c r="C32" s="7" t="s">
        <v>23</v>
      </c>
      <c r="D32" s="84">
        <v>4</v>
      </c>
      <c r="E32" s="57">
        <f>'4'!K29</f>
        <v>197.30614151846504</v>
      </c>
      <c r="F32" s="9" t="s">
        <v>20</v>
      </c>
      <c r="G32" s="85">
        <v>18</v>
      </c>
      <c r="H32" s="67">
        <f>'18'!K29</f>
        <v>181.35345157895898</v>
      </c>
      <c r="I32" s="64" t="s">
        <v>20</v>
      </c>
      <c r="J32" s="86">
        <v>33</v>
      </c>
      <c r="K32" s="58">
        <f>'33'!K29</f>
        <v>176.00316479924768</v>
      </c>
      <c r="L32" s="12" t="s">
        <v>20</v>
      </c>
      <c r="M32" s="87">
        <v>48</v>
      </c>
      <c r="N32" s="59">
        <f>'48'!K29</f>
        <v>165.67891110506486</v>
      </c>
      <c r="O32" s="19" t="s">
        <v>20</v>
      </c>
    </row>
    <row r="33" spans="1:15" x14ac:dyDescent="0.3">
      <c r="B33" s="17"/>
      <c r="C33" s="7" t="s">
        <v>24</v>
      </c>
      <c r="D33" s="84">
        <v>5</v>
      </c>
      <c r="E33" s="57">
        <f>'5'!K29</f>
        <v>190.2378727452685</v>
      </c>
      <c r="F33" s="9" t="s">
        <v>20</v>
      </c>
      <c r="G33" s="85">
        <v>19</v>
      </c>
      <c r="H33" s="67">
        <f>'19'!K29</f>
        <v>174.28518280576247</v>
      </c>
      <c r="I33" s="64" t="s">
        <v>20</v>
      </c>
      <c r="J33" s="86">
        <v>34</v>
      </c>
      <c r="K33" s="58">
        <f>'34'!K29</f>
        <v>168.93489602605126</v>
      </c>
      <c r="L33" s="12" t="s">
        <v>20</v>
      </c>
      <c r="M33" s="87">
        <v>49</v>
      </c>
      <c r="N33" s="59">
        <f>'49'!K29</f>
        <v>158.61064233186832</v>
      </c>
      <c r="O33" s="19" t="s">
        <v>20</v>
      </c>
    </row>
    <row r="34" spans="1:15" x14ac:dyDescent="0.3">
      <c r="B34" s="17"/>
      <c r="C34" s="7"/>
      <c r="D34" s="9"/>
      <c r="E34" s="57"/>
      <c r="F34" s="57"/>
      <c r="G34" s="64"/>
      <c r="H34" s="67"/>
      <c r="I34" s="67"/>
      <c r="J34" s="12"/>
      <c r="K34" s="58"/>
      <c r="L34" s="58"/>
      <c r="M34" s="8"/>
      <c r="N34" s="59"/>
      <c r="O34" s="70"/>
    </row>
    <row r="35" spans="1:15" x14ac:dyDescent="0.3">
      <c r="B35" s="17" t="s">
        <v>25</v>
      </c>
      <c r="C35" s="7" t="s">
        <v>19</v>
      </c>
      <c r="D35" s="84">
        <v>6</v>
      </c>
      <c r="E35" s="57">
        <f>'6'!K29</f>
        <v>188.44571756095343</v>
      </c>
      <c r="F35" s="9" t="s">
        <v>20</v>
      </c>
      <c r="G35" s="85">
        <v>20</v>
      </c>
      <c r="H35" s="67">
        <f>'20'!K29</f>
        <v>172.49302762144737</v>
      </c>
      <c r="I35" s="64" t="s">
        <v>20</v>
      </c>
      <c r="J35" s="86">
        <v>35</v>
      </c>
      <c r="K35" s="58">
        <f>'35'!K29</f>
        <v>167.14274084173613</v>
      </c>
      <c r="L35" s="12" t="s">
        <v>20</v>
      </c>
      <c r="M35" s="87">
        <v>50</v>
      </c>
      <c r="N35" s="59">
        <f>'50'!K29</f>
        <v>156.81848714755321</v>
      </c>
      <c r="O35" s="19" t="s">
        <v>20</v>
      </c>
    </row>
    <row r="36" spans="1:15" x14ac:dyDescent="0.3">
      <c r="B36" s="17"/>
      <c r="C36" s="7" t="s">
        <v>21</v>
      </c>
      <c r="D36" s="84">
        <v>7</v>
      </c>
      <c r="E36" s="57">
        <f>'7'!K29</f>
        <v>188.15432288269332</v>
      </c>
      <c r="F36" s="9" t="s">
        <v>20</v>
      </c>
      <c r="G36" s="85">
        <v>21</v>
      </c>
      <c r="H36" s="67">
        <f>'21'!K29</f>
        <v>172.20163294318726</v>
      </c>
      <c r="I36" s="64" t="s">
        <v>20</v>
      </c>
      <c r="J36" s="86">
        <v>36</v>
      </c>
      <c r="K36" s="58">
        <f>'36'!K29</f>
        <v>166.85134616347602</v>
      </c>
      <c r="L36" s="12" t="s">
        <v>20</v>
      </c>
      <c r="M36" s="87">
        <v>51</v>
      </c>
      <c r="N36" s="59">
        <f>'51'!K29</f>
        <v>156.52709246929311</v>
      </c>
      <c r="O36" s="19" t="s">
        <v>20</v>
      </c>
    </row>
    <row r="37" spans="1:15" x14ac:dyDescent="0.3">
      <c r="B37" s="17"/>
      <c r="C37" s="7" t="s">
        <v>22</v>
      </c>
      <c r="D37" s="84">
        <v>8</v>
      </c>
      <c r="E37" s="57">
        <f>'8'!K29</f>
        <v>182.5482217018357</v>
      </c>
      <c r="F37" s="9" t="s">
        <v>20</v>
      </c>
      <c r="G37" s="85">
        <v>22</v>
      </c>
      <c r="H37" s="67">
        <f>'22'!K29</f>
        <v>166.59553176232967</v>
      </c>
      <c r="I37" s="64" t="s">
        <v>20</v>
      </c>
      <c r="J37" s="86">
        <v>37</v>
      </c>
      <c r="K37" s="58">
        <f>'37'!K29</f>
        <v>161.2452449826184</v>
      </c>
      <c r="L37" s="12" t="s">
        <v>20</v>
      </c>
      <c r="M37" s="87">
        <v>52</v>
      </c>
      <c r="N37" s="59">
        <f>'52'!K29</f>
        <v>150.92099128843552</v>
      </c>
      <c r="O37" s="19" t="s">
        <v>20</v>
      </c>
    </row>
    <row r="38" spans="1:15" x14ac:dyDescent="0.3">
      <c r="B38" s="17"/>
      <c r="C38" s="7" t="s">
        <v>23</v>
      </c>
      <c r="D38" s="84">
        <v>9</v>
      </c>
      <c r="E38" s="57">
        <f>'9'!K29</f>
        <v>178.93256952413921</v>
      </c>
      <c r="F38" s="9" t="s">
        <v>20</v>
      </c>
      <c r="G38" s="85">
        <v>23</v>
      </c>
      <c r="H38" s="67">
        <f>'23'!K29</f>
        <v>162.97987958463315</v>
      </c>
      <c r="I38" s="64" t="s">
        <v>20</v>
      </c>
      <c r="J38" s="86">
        <v>38</v>
      </c>
      <c r="K38" s="58">
        <f>'38'!K29</f>
        <v>157.62959280492188</v>
      </c>
      <c r="L38" s="12" t="s">
        <v>20</v>
      </c>
      <c r="M38" s="87">
        <v>53</v>
      </c>
      <c r="N38" s="59">
        <f>'53'!K29</f>
        <v>147.305339110739</v>
      </c>
      <c r="O38" s="19" t="s">
        <v>20</v>
      </c>
    </row>
    <row r="39" spans="1:15" x14ac:dyDescent="0.3">
      <c r="B39" s="17"/>
      <c r="C39" s="7" t="s">
        <v>24</v>
      </c>
      <c r="D39" s="84">
        <v>10</v>
      </c>
      <c r="E39" s="57">
        <f>'10'!K29</f>
        <v>174.69576606538197</v>
      </c>
      <c r="F39" s="9" t="s">
        <v>20</v>
      </c>
      <c r="G39" s="85">
        <v>24</v>
      </c>
      <c r="H39" s="67">
        <f>'24'!K29</f>
        <v>158.74307612587592</v>
      </c>
      <c r="I39" s="64" t="s">
        <v>20</v>
      </c>
      <c r="J39" s="86">
        <v>39</v>
      </c>
      <c r="K39" s="58">
        <f>'39'!K29</f>
        <v>153.3927893461647</v>
      </c>
      <c r="L39" s="12" t="s">
        <v>20</v>
      </c>
      <c r="M39" s="87">
        <v>54</v>
      </c>
      <c r="N39" s="59">
        <f>'54'!K29</f>
        <v>143.06853565198179</v>
      </c>
      <c r="O39" s="19" t="s">
        <v>20</v>
      </c>
    </row>
    <row r="40" spans="1:15" x14ac:dyDescent="0.3">
      <c r="B40" s="17"/>
      <c r="C40" s="7"/>
      <c r="D40" s="9"/>
      <c r="E40" s="57"/>
      <c r="F40" s="57"/>
      <c r="G40" s="64"/>
      <c r="H40" s="67"/>
      <c r="I40" s="67"/>
      <c r="J40" s="12"/>
      <c r="K40" s="58"/>
      <c r="L40" s="58"/>
      <c r="M40" s="8"/>
      <c r="N40" s="59"/>
      <c r="O40" s="70"/>
    </row>
    <row r="41" spans="1:15" x14ac:dyDescent="0.3">
      <c r="B41" s="17" t="s">
        <v>26</v>
      </c>
      <c r="C41" s="7" t="s">
        <v>19</v>
      </c>
      <c r="D41" s="84">
        <v>11</v>
      </c>
      <c r="E41" s="57">
        <f>'11'!K29</f>
        <v>173.4649145777619</v>
      </c>
      <c r="F41" s="9" t="s">
        <v>20</v>
      </c>
      <c r="G41" s="85">
        <v>25</v>
      </c>
      <c r="H41" s="67">
        <f>'25'!K29</f>
        <v>157.51222463825584</v>
      </c>
      <c r="I41" s="64" t="s">
        <v>20</v>
      </c>
      <c r="J41" s="86">
        <v>40</v>
      </c>
      <c r="K41" s="58">
        <f>'40'!K29</f>
        <v>152.1619378585446</v>
      </c>
      <c r="L41" s="12" t="s">
        <v>20</v>
      </c>
      <c r="M41" s="87">
        <v>55</v>
      </c>
      <c r="N41" s="59">
        <f>'55'!K29</f>
        <v>141.83768416436169</v>
      </c>
      <c r="O41" s="19" t="s">
        <v>20</v>
      </c>
    </row>
    <row r="42" spans="1:15" x14ac:dyDescent="0.3">
      <c r="B42" s="17"/>
      <c r="C42" s="7" t="s">
        <v>21</v>
      </c>
      <c r="D42" s="84">
        <v>12</v>
      </c>
      <c r="E42" s="57">
        <f>'12'!K29</f>
        <v>174.76528280775139</v>
      </c>
      <c r="F42" s="9" t="s">
        <v>20</v>
      </c>
      <c r="G42" s="85">
        <v>26</v>
      </c>
      <c r="H42" s="67">
        <f>'26'!K29</f>
        <v>158.81259286824533</v>
      </c>
      <c r="I42" s="64" t="s">
        <v>20</v>
      </c>
      <c r="J42" s="86">
        <v>41</v>
      </c>
      <c r="K42" s="58">
        <f>'41'!K29</f>
        <v>153.46230608853409</v>
      </c>
      <c r="L42" s="12" t="s">
        <v>20</v>
      </c>
      <c r="M42" s="87">
        <v>56</v>
      </c>
      <c r="N42" s="59">
        <f>'56'!K29</f>
        <v>143.13805239435121</v>
      </c>
      <c r="O42" s="19" t="s">
        <v>20</v>
      </c>
    </row>
    <row r="43" spans="1:15" x14ac:dyDescent="0.3">
      <c r="B43" s="17"/>
      <c r="C43" s="7" t="s">
        <v>22</v>
      </c>
      <c r="D43" s="84">
        <v>13</v>
      </c>
      <c r="E43" s="57">
        <f>'13'!K29</f>
        <v>171.28153217122662</v>
      </c>
      <c r="F43" s="9" t="s">
        <v>20</v>
      </c>
      <c r="G43" s="85">
        <v>27</v>
      </c>
      <c r="H43" s="67">
        <f>'27'!K29</f>
        <v>155.32884223172059</v>
      </c>
      <c r="I43" s="64" t="s">
        <v>20</v>
      </c>
      <c r="J43" s="86">
        <v>42</v>
      </c>
      <c r="K43" s="58">
        <f>'42'!K29</f>
        <v>149.97855545200935</v>
      </c>
      <c r="L43" s="12" t="s">
        <v>20</v>
      </c>
      <c r="M43" s="87">
        <v>57</v>
      </c>
      <c r="N43" s="59">
        <f>'57'!K29</f>
        <v>139.65430175782643</v>
      </c>
      <c r="O43" s="19" t="s">
        <v>20</v>
      </c>
    </row>
    <row r="44" spans="1:15" x14ac:dyDescent="0.3">
      <c r="B44" s="17"/>
      <c r="C44" s="7" t="s">
        <v>23</v>
      </c>
      <c r="D44" s="84">
        <v>14</v>
      </c>
      <c r="E44" s="57">
        <f>'14'!K29</f>
        <v>169.74578352697625</v>
      </c>
      <c r="F44" s="9" t="s">
        <v>20</v>
      </c>
      <c r="G44" s="85">
        <v>28</v>
      </c>
      <c r="H44" s="67">
        <f>'28'!K29</f>
        <v>153.7930935874702</v>
      </c>
      <c r="I44" s="64" t="s">
        <v>20</v>
      </c>
      <c r="J44" s="86">
        <v>43</v>
      </c>
      <c r="K44" s="58">
        <f>'43'!K29</f>
        <v>148.44280680775896</v>
      </c>
      <c r="L44" s="12" t="s">
        <v>20</v>
      </c>
      <c r="M44" s="87">
        <v>58</v>
      </c>
      <c r="N44" s="59">
        <f>'58'!K29</f>
        <v>138.11855311357607</v>
      </c>
      <c r="O44" s="19" t="s">
        <v>20</v>
      </c>
    </row>
    <row r="45" spans="1:15" ht="14" thickBot="1" x14ac:dyDescent="0.35">
      <c r="B45" s="20"/>
      <c r="C45" s="21" t="s">
        <v>24</v>
      </c>
      <c r="D45" s="22"/>
      <c r="E45" s="60" t="s">
        <v>27</v>
      </c>
      <c r="F45" s="22" t="s">
        <v>20</v>
      </c>
      <c r="G45" s="88">
        <v>29</v>
      </c>
      <c r="H45" s="69">
        <f>'29'!K29</f>
        <v>150.97202278593264</v>
      </c>
      <c r="I45" s="68" t="s">
        <v>20</v>
      </c>
      <c r="J45" s="89">
        <v>44</v>
      </c>
      <c r="K45" s="62">
        <f>'44'!K29</f>
        <v>145.6217360062214</v>
      </c>
      <c r="L45" s="61" t="s">
        <v>20</v>
      </c>
      <c r="M45" s="90">
        <v>59</v>
      </c>
      <c r="N45" s="63">
        <f>'59'!K29</f>
        <v>135.29748231203848</v>
      </c>
      <c r="O45" s="23" t="s">
        <v>20</v>
      </c>
    </row>
    <row r="46" spans="1:15" x14ac:dyDescent="0.3">
      <c r="A46" s="1"/>
      <c r="B46" s="1"/>
      <c r="C46" s="1"/>
      <c r="D46" s="1"/>
      <c r="E46" s="1"/>
      <c r="F46" s="1"/>
      <c r="G46" s="1"/>
      <c r="H46" s="1"/>
      <c r="I46" s="1"/>
      <c r="J46" s="1"/>
      <c r="K46" s="1"/>
      <c r="L46" s="1"/>
      <c r="M46" s="1"/>
    </row>
    <row r="54" spans="12:13" x14ac:dyDescent="0.3">
      <c r="L54" s="1"/>
      <c r="M54" s="1"/>
    </row>
  </sheetData>
  <mergeCells count="10">
    <mergeCell ref="A22:O22"/>
    <mergeCell ref="A17:O18"/>
    <mergeCell ref="A12:O13"/>
    <mergeCell ref="A20:O20"/>
    <mergeCell ref="A2:O3"/>
    <mergeCell ref="A9:O10"/>
    <mergeCell ref="A15:O15"/>
    <mergeCell ref="A5:O5"/>
    <mergeCell ref="A6:O6"/>
    <mergeCell ref="A7:J7"/>
  </mergeCells>
  <hyperlinks>
    <hyperlink ref="D29" location="'1'!A1" display="'1'!A1" xr:uid="{07FCB8AD-D089-484A-A61B-B0A50D905C06}"/>
    <hyperlink ref="D30" location="'2'!A1" display="'2'!A1" xr:uid="{55E48E02-7EA2-4C76-A1A1-4401AF84B3C3}"/>
    <hyperlink ref="D31" location="'3'!A1" display="'3'!A1" xr:uid="{8F5E5FEF-E698-4A95-AFAD-3135C10C6390}"/>
    <hyperlink ref="G29" location="'15'!A1" display="'15'!A1" xr:uid="{48B2029F-8D85-49DB-9694-BE840AD560A1}"/>
    <hyperlink ref="J29" location="'30'!A1" display="'30'!A1" xr:uid="{A479430B-1A39-49B9-ABA3-B4FFF42DD8FE}"/>
    <hyperlink ref="M29" location="'45'!A1" display="'45'!A1" xr:uid="{0398AD3D-B48C-4C64-884A-604D52964F0E}"/>
    <hyperlink ref="G30" location="'16'!A1" display="'16'!A1" xr:uid="{270E5A22-A782-490C-A3E2-1A6C7DC85DB4}"/>
    <hyperlink ref="J30" location="'31'!A1" display="'31'!A1" xr:uid="{F11699BA-4E58-48C1-8845-B47714F3174D}"/>
    <hyperlink ref="M30" location="'46'!A1" display="'46'!A1" xr:uid="{A7AA5917-9A74-400D-A7D1-8B6F9797C818}"/>
    <hyperlink ref="G31" location="'17'!A1" display="'17'!A1" xr:uid="{15C3C487-C323-4C4B-A29D-78190EA73EA5}"/>
    <hyperlink ref="J31" location="'32'!A1" display="'32'!A1" xr:uid="{1731DE81-29C1-4BC5-9A2F-DADFE7A55B20}"/>
    <hyperlink ref="M31" location="'47'!A1" display="'47'!A1" xr:uid="{3BDF8CCF-7B72-4506-B780-C4F883E99630}"/>
    <hyperlink ref="D32" location="'4'!A1" display="'4'!A1" xr:uid="{00DAC148-C612-4EDD-ACF9-BC2519D545DC}"/>
    <hyperlink ref="G32" location="'18'!A1" display="'18'!A1" xr:uid="{03165040-EF68-46A8-81B8-6F370C8A1C09}"/>
    <hyperlink ref="J32" location="'33'!A1" display="'33'!A1" xr:uid="{5BE1832F-5503-4412-B5CE-4758ED79A035}"/>
    <hyperlink ref="M32" location="'48'!A1" display="'48'!A1" xr:uid="{C3AC286D-9882-4F54-AD5F-DE9BAAF24D7E}"/>
    <hyperlink ref="D33" location="'5'!A1" display="'5'!A1" xr:uid="{9541EF22-DA13-42D5-9D10-92DB9D6DBF0B}"/>
    <hyperlink ref="G33" location="'19'!A1" display="'19'!A1" xr:uid="{C607F82E-C0CC-4E7C-9B58-3BCE24D49578}"/>
    <hyperlink ref="J33" location="'34'!A1" display="'34'!A1" xr:uid="{C597B635-80E6-4E8D-BB12-1CB6DB0F357E}"/>
    <hyperlink ref="M33" location="'49'!A1" display="'49'!A1" xr:uid="{F0B60F75-8434-4563-8608-DE390E014227}"/>
    <hyperlink ref="D35" location="'6'!A1" display="'6'!A1" xr:uid="{DBA01547-9C17-43A8-8A3B-0F344306420C}"/>
    <hyperlink ref="G35" location="'20'!A1" display="'20'!A1" xr:uid="{B7A3677A-7A03-4D86-8566-8DBB2B4A1F63}"/>
    <hyperlink ref="J35" location="'35'!A1" display="'35'!A1" xr:uid="{F5A62511-8AF8-457F-9900-88302B40D324}"/>
    <hyperlink ref="M35" location="'50'!A1" display="'50'!A1" xr:uid="{42B5345F-48E8-48B3-81D6-18572610FBCE}"/>
    <hyperlink ref="D36" location="'7'!A1" display="'7'!A1" xr:uid="{FBC20D09-E297-469B-AA6A-D5AD06395FAE}"/>
    <hyperlink ref="G36" location="'21'!A1" display="'21'!A1" xr:uid="{5CE84F46-E949-40EF-8F97-4200CCE9F5CF}"/>
    <hyperlink ref="J36" location="'36'!A1" display="'36'!A1" xr:uid="{FDE1C682-E0DB-452E-B7DF-CC2A112EC822}"/>
    <hyperlink ref="M36" location="'51'!A1" display="'51'!A1" xr:uid="{CD618AB5-BD46-42CF-9A52-5AFBA59597FC}"/>
    <hyperlink ref="D37" location="'8'!A1" display="'8'!A1" xr:uid="{60EDA451-A2EB-4604-9B4E-C190EE6114D0}"/>
    <hyperlink ref="G37" location="'22'!A1" display="'22'!A1" xr:uid="{0BAB595B-A0A1-43CC-BB4A-6051CC853A3D}"/>
    <hyperlink ref="J37" location="'37'!A1" display="'37'!A1" xr:uid="{48B978C0-C59C-4FBD-B1CF-0F0CDEB796BE}"/>
    <hyperlink ref="M37" location="'52'!A1" display="'52'!A1" xr:uid="{1485DBB0-DAA4-4895-98EB-B1D524B2B727}"/>
    <hyperlink ref="D38" location="'9'!A1" display="'9'!A1" xr:uid="{6A161F17-2B7D-401B-AFE5-E178F1C71342}"/>
    <hyperlink ref="G38" location="'23'!A1" display="'23'!A1" xr:uid="{C8C25F6A-F557-48A1-A7BA-7521B6464CB6}"/>
    <hyperlink ref="J38" location="'38'!A1" display="'38'!A1" xr:uid="{40A55AE9-455F-4029-86DE-8AD1EFD7F72A}"/>
    <hyperlink ref="M38" location="'53'!A1" display="'53'!A1" xr:uid="{24201F02-1362-4744-8EEE-F6BE4BFBD63C}"/>
    <hyperlink ref="D39" location="'10'!A1" display="'10'!A1" xr:uid="{8FBA2ABA-A9F6-4874-9480-B31E7B20E37E}"/>
    <hyperlink ref="G39" location="'24'!A1" display="'24'!A1" xr:uid="{BB148211-9551-44A3-A4B9-9356823EA92D}"/>
    <hyperlink ref="J39" location="'39'!A1" display="'39'!A1" xr:uid="{FE735FA1-11FF-4631-A4A9-0AC74B9A7819}"/>
    <hyperlink ref="M39" location="'54'!A1" display="'54'!A1" xr:uid="{9460D666-69DA-4E5D-96C6-F75BF4C66667}"/>
    <hyperlink ref="D41" location="'11'!A1" display="'11'!A1" xr:uid="{A7263E90-7282-46B6-94D4-D093306D084E}"/>
    <hyperlink ref="G41" location="'25'!A1" display="'25'!A1" xr:uid="{D8C0EE87-F474-4AAF-A5A3-81826AF45383}"/>
    <hyperlink ref="J41" location="'40'!A1" display="'40'!A1" xr:uid="{716DE171-642E-43EF-9BFB-12FD2CE7D4F7}"/>
    <hyperlink ref="M41" location="'55'!A1" display="'55'!A1" xr:uid="{84DDAFAB-5019-445E-AFEC-46326901E05F}"/>
    <hyperlink ref="D42" location="'12'!A1" display="'12'!A1" xr:uid="{4BC221D5-5F54-442D-B92C-159DF87B8F88}"/>
    <hyperlink ref="G42" location="'26'!A1" display="'26'!A1" xr:uid="{D40222BE-A6C4-477D-801F-8F8D969B9E65}"/>
    <hyperlink ref="J42" location="'41'!A1" display="'41'!A1" xr:uid="{D4DF95A6-FD73-4B69-8C19-21B7CB782330}"/>
    <hyperlink ref="M42" location="'56'!A1" display="'56'!A1" xr:uid="{0A18BF30-BADA-4F76-A696-B17048C16B38}"/>
    <hyperlink ref="D43" location="'13'!A1" display="'13'!A1" xr:uid="{1804BE1A-79F9-41A6-9983-9400AFEDAB07}"/>
    <hyperlink ref="G43" location="'27'!A1" display="'27'!A1" xr:uid="{93DEEE06-7CAF-44C2-9033-E7BEDC10ED19}"/>
    <hyperlink ref="J43" location="'42'!A1" display="'42'!A1" xr:uid="{6DD86280-052F-4AA2-AAB7-84E3BB2CDBEE}"/>
    <hyperlink ref="M43" location="'57'!A1" display="'57'!A1" xr:uid="{74AAEA48-0851-42EC-893C-915569595A8C}"/>
    <hyperlink ref="D44" location="'14'!A1" display="'14'!A1" xr:uid="{94B9CBFC-7C2E-4093-AA6F-F87C316E88BB}"/>
    <hyperlink ref="G44" location="'28'!A1" display="'28'!A1" xr:uid="{D695EF8B-4043-4E19-AD28-F798A85099D6}"/>
    <hyperlink ref="J44" location="'43'!A1" display="'43'!A1" xr:uid="{C4DDA5F2-BACA-4ABB-8F3D-EF4C8470697A}"/>
    <hyperlink ref="M44" location="'58'!A1" display="'58'!A1" xr:uid="{2AAEB978-39CE-49C5-AFD2-8A105A08487A}"/>
    <hyperlink ref="G45" location="'29'!A1" display="'29'!A1" xr:uid="{F4B17512-ABF2-4391-B3AC-17D03A691C13}"/>
    <hyperlink ref="J45" location="'44'!A1" display="'44'!A1" xr:uid="{F55650FB-6283-40F3-8A51-DD7B6512E6B0}"/>
    <hyperlink ref="M45" location="'59'!A1" display="'59'!A1" xr:uid="{12E9B8CB-C8DA-4A53-98B9-BB895A72A9A7}"/>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FF0000"/>
  </sheetPr>
  <dimension ref="A1:K44"/>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98" t="s">
        <v>91</v>
      </c>
      <c r="B1" s="99"/>
      <c r="C1" s="99"/>
      <c r="D1" s="99"/>
      <c r="E1" s="99"/>
      <c r="F1" s="99"/>
      <c r="G1" s="99"/>
      <c r="H1" s="99"/>
      <c r="I1" s="99"/>
      <c r="J1" s="99"/>
      <c r="K1" s="100"/>
    </row>
    <row r="3" spans="1:11" x14ac:dyDescent="0.3">
      <c r="A3" t="s">
        <v>29</v>
      </c>
      <c r="D3" s="36">
        <v>2014</v>
      </c>
      <c r="E3" t="s">
        <v>30</v>
      </c>
    </row>
    <row r="6" spans="1:11" x14ac:dyDescent="0.3">
      <c r="A6" s="102" t="s">
        <v>31</v>
      </c>
      <c r="B6" s="103"/>
      <c r="C6" s="34">
        <v>5</v>
      </c>
      <c r="D6" s="102" t="s">
        <v>32</v>
      </c>
      <c r="E6" s="103"/>
      <c r="F6" s="34">
        <v>5</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845.5</v>
      </c>
      <c r="K11" s="50">
        <f>J11*(VLOOKUP(OpdateretÅrstal,Prislistetillæg!$A$5:$C$61,3,FALSE)/VLOOKUP(Produktionsår,Prislistetillæg!$A$5:$C$61,3,FALSE))</f>
        <v>1383.3845480874218</v>
      </c>
    </row>
    <row r="12" spans="1:11" ht="24.75" customHeight="1" x14ac:dyDescent="0.3">
      <c r="B12" s="26" t="s">
        <v>42</v>
      </c>
      <c r="C12" s="101" t="s">
        <v>43</v>
      </c>
      <c r="D12" s="101"/>
      <c r="E12" s="101"/>
      <c r="F12" s="101"/>
      <c r="G12" s="101"/>
      <c r="H12" s="101"/>
      <c r="I12" s="28">
        <v>7.33</v>
      </c>
      <c r="J12" s="38">
        <f>($C$6*$F$6)*I12</f>
        <v>183.25</v>
      </c>
      <c r="K12" s="50">
        <f>J12*(VLOOKUP(OpdateretÅrstal,Prislistetillæg!$A$5:$C$61,3,FALSE)/VLOOKUP(Produktionsår,Prislistetillæg!$A$5:$C$61,3,FALSE))</f>
        <v>299.82876219635722</v>
      </c>
    </row>
    <row r="13" spans="1:11" x14ac:dyDescent="0.3">
      <c r="B13" s="26" t="s">
        <v>44</v>
      </c>
      <c r="C13" s="101" t="s">
        <v>45</v>
      </c>
      <c r="D13" s="101"/>
      <c r="E13" s="101"/>
      <c r="F13" s="101"/>
      <c r="G13" s="101"/>
      <c r="H13" s="101"/>
      <c r="I13" s="28">
        <v>18.29</v>
      </c>
      <c r="J13" s="39">
        <f>($C$6*$F$6)*2*I13</f>
        <v>914.5</v>
      </c>
      <c r="K13" s="50">
        <f>J13*(VLOOKUP(OpdateretÅrstal,Prislistetillæg!$A$5:$C$61,3,FALSE)/VLOOKUP(Produktionsår,Prislistetillæg!$A$5:$C$61,3,FALSE))</f>
        <v>1496.2805076593106</v>
      </c>
    </row>
    <row r="14" spans="1:11" ht="25.5" customHeight="1" x14ac:dyDescent="0.3">
      <c r="B14" s="26" t="s">
        <v>46</v>
      </c>
      <c r="C14" s="101" t="s">
        <v>47</v>
      </c>
      <c r="D14" s="101"/>
      <c r="E14" s="101"/>
      <c r="F14" s="101"/>
      <c r="G14" s="101"/>
      <c r="H14" s="101"/>
      <c r="I14" s="28">
        <v>9.36</v>
      </c>
      <c r="J14" s="39">
        <f>($C$6*$F$6)*2*I14</f>
        <v>468</v>
      </c>
      <c r="K14" s="50">
        <f>J14*(VLOOKUP(OpdateretÅrstal,Prislistetillæg!$A$5:$C$61,3,FALSE)/VLOOKUP(Produktionsår,Prislistetillæg!$A$5:$C$61,3,FALSE))</f>
        <v>765.72911709629022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57.400000000000006</v>
      </c>
      <c r="K17" s="50">
        <f>J17*(VLOOKUP(OpdateretÅrstal,Prislistetillæg!$A$5:$C$61,3,FALSE)/VLOOKUP(Produktionsår,Prislistetillæg!$A$5:$C$61,3,FALSE))</f>
        <v>93.916348977194573</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156.4</v>
      </c>
      <c r="K19" s="50">
        <f>J19*(VLOOKUP(OpdateretÅrstal,Prislistetillæg!$A$5:$C$61,3,FALSE)/VLOOKUP(Produktionsår,Prislistetillæg!$A$5:$C$61,3,FALSE))</f>
        <v>255.89750836294829</v>
      </c>
    </row>
    <row r="20" spans="1:11" x14ac:dyDescent="0.3">
      <c r="B20" s="26" t="s">
        <v>56</v>
      </c>
      <c r="C20" s="97" t="s">
        <v>57</v>
      </c>
      <c r="D20" s="97"/>
      <c r="E20" s="97"/>
      <c r="F20" s="97"/>
      <c r="G20" s="97"/>
      <c r="H20" s="97"/>
      <c r="I20" s="28">
        <v>5.32</v>
      </c>
      <c r="J20" s="51">
        <f>C6*I20</f>
        <v>26.6</v>
      </c>
      <c r="K20" s="50">
        <f>J20*(VLOOKUP(OpdateretÅrstal,Prislistetillæg!$A$5:$C$61,3,FALSE)/VLOOKUP(Produktionsår,Prislistetillæg!$A$5:$C$61,3,FALSE))</f>
        <v>43.522210501626752</v>
      </c>
    </row>
    <row r="21" spans="1:11" x14ac:dyDescent="0.3">
      <c r="B21" s="26" t="s">
        <v>58</v>
      </c>
      <c r="C21" s="97" t="s">
        <v>59</v>
      </c>
      <c r="D21" s="97"/>
      <c r="E21" s="97"/>
      <c r="F21" s="97"/>
      <c r="G21" s="97"/>
      <c r="H21" s="97"/>
      <c r="I21" s="28">
        <v>10.63</v>
      </c>
      <c r="J21" s="31">
        <f>C6*2*I21</f>
        <v>106.30000000000001</v>
      </c>
      <c r="K21" s="50">
        <f>J21*(VLOOKUP(OpdateretÅrstal,Prislistetillæg!$A$5:$C$61,3,FALSE)/VLOOKUP(Produktionsår,Prislistetillæg!$A$5:$C$61,3,FALSE))</f>
        <v>173.92522467379413</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(2*I25)*2</f>
        <v>23.04</v>
      </c>
      <c r="K25" s="50">
        <f>J25*(VLOOKUP(OpdateretÅrstal,Prislistetillæg!$A$5:$C$61,3,FALSE)/VLOOKUP(Produktionsår,Prislistetillæg!$A$5:$C$61,3,FALSE))</f>
        <v>37.697433457048135</v>
      </c>
    </row>
    <row r="26" spans="1:11" ht="12.75" customHeight="1" x14ac:dyDescent="0.3">
      <c r="B26" s="26"/>
      <c r="C26" s="110"/>
      <c r="D26" s="111"/>
      <c r="E26" s="111"/>
      <c r="F26" s="111"/>
      <c r="G26" s="111"/>
      <c r="H26" s="112"/>
      <c r="I26" s="27"/>
      <c r="J26" s="40"/>
      <c r="K26" s="47"/>
    </row>
    <row r="27" spans="1:11" ht="12.75" customHeight="1" x14ac:dyDescent="0.3">
      <c r="B27" s="26"/>
      <c r="C27" s="110" t="s">
        <v>68</v>
      </c>
      <c r="D27" s="111"/>
      <c r="E27" s="111"/>
      <c r="F27" s="111"/>
      <c r="G27" s="111"/>
      <c r="H27" s="112"/>
      <c r="I27" s="28"/>
      <c r="J27" s="38">
        <f>SUM(J11:J19)</f>
        <v>2734.01</v>
      </c>
      <c r="K27" s="48">
        <f>J27*(VLOOKUP(OpdateretÅrstal,Prislistetillæg!$A$5:$C$61,3,FALSE)/VLOOKUP(Produktionsår,Prislistetillæg!$A$5:$C$61,3,FALSE))</f>
        <v>4473.3142381034795</v>
      </c>
    </row>
    <row r="28" spans="1:11" ht="12.75" customHeight="1" x14ac:dyDescent="0.3">
      <c r="B28" s="26"/>
      <c r="C28" s="113"/>
      <c r="D28" s="114"/>
      <c r="E28" s="114"/>
      <c r="F28" s="114"/>
      <c r="G28" s="114"/>
      <c r="H28" s="115"/>
      <c r="I28" s="28"/>
      <c r="K28" s="47"/>
    </row>
    <row r="29" spans="1:11" ht="13.5" customHeight="1" thickBot="1" x14ac:dyDescent="0.35">
      <c r="B29" s="32"/>
      <c r="C29" s="116" t="s">
        <v>69</v>
      </c>
      <c r="D29" s="117"/>
      <c r="E29" s="117"/>
      <c r="F29" s="117"/>
      <c r="G29" s="117"/>
      <c r="H29" s="118"/>
      <c r="I29" s="33"/>
      <c r="J29" s="41">
        <f>J27/(C6*F6)</f>
        <v>109.36040000000001</v>
      </c>
      <c r="K29" s="49">
        <f>J29*(VLOOKUP(OpdateretÅrstal,Prislistetillæg!$A$5:$C$61,3,FALSE)/VLOOKUP(Produktionsår,Prislistetillæg!$A$5:$C$61,3,FALSE))</f>
        <v>178.93256952413921</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row r="44" spans="1:4" x14ac:dyDescent="0.3">
      <c r="D44" t="s">
        <v>92</v>
      </c>
    </row>
  </sheetData>
  <mergeCells count="25">
    <mergeCell ref="C16:H16"/>
    <mergeCell ref="A1:K1"/>
    <mergeCell ref="A6:B6"/>
    <mergeCell ref="D6:E6"/>
    <mergeCell ref="G6:I6"/>
    <mergeCell ref="C10:H10"/>
    <mergeCell ref="C11:H11"/>
    <mergeCell ref="C12:H12"/>
    <mergeCell ref="C13:H13"/>
    <mergeCell ref="C14:H14"/>
    <mergeCell ref="C15:H15"/>
    <mergeCell ref="C9:H9"/>
    <mergeCell ref="C27:H27"/>
    <mergeCell ref="C28:H28"/>
    <mergeCell ref="C29:H29"/>
    <mergeCell ref="C17:H17"/>
    <mergeCell ref="C18:H18"/>
    <mergeCell ref="C19:H19"/>
    <mergeCell ref="C20:H20"/>
    <mergeCell ref="C21:H21"/>
    <mergeCell ref="C26:H26"/>
    <mergeCell ref="C22:H22"/>
    <mergeCell ref="C23:H23"/>
    <mergeCell ref="C24:H24"/>
    <mergeCell ref="C25:H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FF0000"/>
  </sheetPr>
  <dimension ref="A1:K44"/>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98" t="s">
        <v>93</v>
      </c>
      <c r="B1" s="99"/>
      <c r="C1" s="99"/>
      <c r="D1" s="99"/>
      <c r="E1" s="99"/>
      <c r="F1" s="99"/>
      <c r="G1" s="99"/>
      <c r="H1" s="99"/>
      <c r="I1" s="99"/>
      <c r="J1" s="99"/>
      <c r="K1" s="100"/>
    </row>
    <row r="3" spans="1:11" x14ac:dyDescent="0.3">
      <c r="A3" t="s">
        <v>29</v>
      </c>
      <c r="D3" s="36">
        <v>2014</v>
      </c>
      <c r="E3" t="s">
        <v>30</v>
      </c>
    </row>
    <row r="6" spans="1:11" x14ac:dyDescent="0.3">
      <c r="A6" s="102" t="s">
        <v>31</v>
      </c>
      <c r="B6" s="103"/>
      <c r="C6" s="34">
        <v>5</v>
      </c>
      <c r="D6" s="102" t="s">
        <v>32</v>
      </c>
      <c r="E6" s="103"/>
      <c r="F6" s="34">
        <v>6.8</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1149.8800000000001</v>
      </c>
      <c r="K11" s="50">
        <f>J11*(VLOOKUP(OpdateretÅrstal,Prislistetillæg!$A$5:$C$61,3,FALSE)/VLOOKUP(Produktionsår,Prislistetillæg!$A$5:$C$61,3,FALSE))</f>
        <v>1881.4029853988936</v>
      </c>
    </row>
    <row r="12" spans="1:11" ht="25.5" customHeight="1" x14ac:dyDescent="0.3">
      <c r="B12" s="26" t="s">
        <v>42</v>
      </c>
      <c r="C12" s="101" t="s">
        <v>43</v>
      </c>
      <c r="D12" s="101"/>
      <c r="E12" s="101"/>
      <c r="F12" s="101"/>
      <c r="G12" s="101"/>
      <c r="H12" s="101"/>
      <c r="I12" s="28">
        <v>7.33</v>
      </c>
      <c r="J12" s="38">
        <f>($C$6*$F$6)*I12</f>
        <v>249.22</v>
      </c>
      <c r="K12" s="50">
        <f>J12*(VLOOKUP(OpdateretÅrstal,Prislistetillæg!$A$5:$C$61,3,FALSE)/VLOOKUP(Produktionsår,Prislistetillæg!$A$5:$C$61,3,FALSE))</f>
        <v>407.76711658704585</v>
      </c>
    </row>
    <row r="13" spans="1:11" x14ac:dyDescent="0.3">
      <c r="B13" s="26" t="s">
        <v>44</v>
      </c>
      <c r="C13" s="101" t="s">
        <v>45</v>
      </c>
      <c r="D13" s="101"/>
      <c r="E13" s="101"/>
      <c r="F13" s="101"/>
      <c r="G13" s="101"/>
      <c r="H13" s="101"/>
      <c r="I13" s="28">
        <v>18.29</v>
      </c>
      <c r="J13" s="39">
        <f>($C$6*$F$6)*2*I13</f>
        <v>1243.72</v>
      </c>
      <c r="K13" s="50">
        <f>J13*(VLOOKUP(OpdateretÅrstal,Prislistetillæg!$A$5:$C$61,3,FALSE)/VLOOKUP(Produktionsår,Prislistetillæg!$A$5:$C$61,3,FALSE))</f>
        <v>2034.9414904166626</v>
      </c>
    </row>
    <row r="14" spans="1:11" ht="24.75" customHeight="1" x14ac:dyDescent="0.3">
      <c r="B14" s="26" t="s">
        <v>46</v>
      </c>
      <c r="C14" s="101" t="s">
        <v>47</v>
      </c>
      <c r="D14" s="101"/>
      <c r="E14" s="101"/>
      <c r="F14" s="101"/>
      <c r="G14" s="101"/>
      <c r="H14" s="101"/>
      <c r="I14" s="28">
        <v>9.36</v>
      </c>
      <c r="J14" s="39">
        <f>($C$6*$F$6)*2*I14</f>
        <v>636.48</v>
      </c>
      <c r="K14" s="50">
        <f>J14*(VLOOKUP(OpdateretÅrstal,Prislistetillæg!$A$5:$C$61,3,FALSE)/VLOOKUP(Produktionsår,Prislistetillæg!$A$5:$C$61,3,FALSE))</f>
        <v>1041.3915992509546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57.400000000000006</v>
      </c>
      <c r="K17" s="50">
        <f>J17*(VLOOKUP(OpdateretÅrstal,Prislistetillæg!$A$5:$C$61,3,FALSE)/VLOOKUP(Produktionsår,Prislistetillæg!$A$5:$C$61,3,FALSE))</f>
        <v>93.916348977194573</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4" customHeight="1" x14ac:dyDescent="0.3">
      <c r="B19" s="26" t="s">
        <v>54</v>
      </c>
      <c r="C19" s="97" t="s">
        <v>55</v>
      </c>
      <c r="D19" s="97"/>
      <c r="E19" s="97"/>
      <c r="F19" s="97"/>
      <c r="G19" s="97"/>
      <c r="H19" s="97"/>
      <c r="I19" s="28">
        <v>3.91</v>
      </c>
      <c r="J19" s="52">
        <f>2*(2*(C6+F6))*I19</f>
        <v>184.55200000000002</v>
      </c>
      <c r="K19" s="50">
        <f>J19*(VLOOKUP(OpdateretÅrstal,Prislistetillæg!$A$5:$C$61,3,FALSE)/VLOOKUP(Produktionsår,Prislistetillæg!$A$5:$C$61,3,FALSE))</f>
        <v>301.95905986827898</v>
      </c>
    </row>
    <row r="20" spans="1:11" x14ac:dyDescent="0.3">
      <c r="B20" s="26" t="s">
        <v>56</v>
      </c>
      <c r="C20" s="97" t="s">
        <v>57</v>
      </c>
      <c r="D20" s="97"/>
      <c r="E20" s="97"/>
      <c r="F20" s="97"/>
      <c r="G20" s="97"/>
      <c r="H20" s="97"/>
      <c r="I20" s="28">
        <v>8.2200000000000006</v>
      </c>
      <c r="J20" s="51">
        <f>C6*I20</f>
        <v>41.1</v>
      </c>
      <c r="K20" s="50">
        <f>J20*(VLOOKUP(OpdateretÅrstal,Prislistetillæg!$A$5:$C$61,3,FALSE)/VLOOKUP(Produktionsår,Prislistetillæg!$A$5:$C$61,3,FALSE))</f>
        <v>67.246723744994725</v>
      </c>
    </row>
    <row r="21" spans="1:11" x14ac:dyDescent="0.3">
      <c r="B21" s="26" t="s">
        <v>58</v>
      </c>
      <c r="C21" s="97" t="s">
        <v>59</v>
      </c>
      <c r="D21" s="97"/>
      <c r="E21" s="97"/>
      <c r="F21" s="97"/>
      <c r="G21" s="97"/>
      <c r="H21" s="97"/>
      <c r="I21" s="28">
        <v>16.43</v>
      </c>
      <c r="J21" s="31">
        <f>C6*2*I21</f>
        <v>164.3</v>
      </c>
      <c r="K21" s="50">
        <f>J21*(VLOOKUP(OpdateretÅrstal,Prislistetillæg!$A$5:$C$61,3,FALSE)/VLOOKUP(Produktionsår,Prislistetillæg!$A$5:$C$61,3,FALSE))</f>
        <v>268.82327764726602</v>
      </c>
    </row>
    <row r="22" spans="1:11" x14ac:dyDescent="0.3">
      <c r="B22" s="26" t="s">
        <v>60</v>
      </c>
      <c r="C22" s="110" t="s">
        <v>61</v>
      </c>
      <c r="D22" s="111"/>
      <c r="E22" s="111"/>
      <c r="F22" s="111"/>
      <c r="G22" s="111"/>
      <c r="H22" s="112"/>
      <c r="I22" s="28">
        <v>32.729999999999997</v>
      </c>
      <c r="J22" s="38">
        <f>(2*I22)*13.2</f>
        <v>864.07199999999989</v>
      </c>
      <c r="K22" s="50">
        <f>J22*(VLOOKUP(OpdateretÅrstal,Prislistetillæg!$A$5:$C$61,3,FALSE)/VLOOKUP(Produktionsår,Prislistetillæg!$A$5:$C$61,3,FALSE))</f>
        <v>1413.771559118858</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61.371199999999995</v>
      </c>
      <c r="K24" s="50">
        <f>J24*(VLOOKUP(OpdateretÅrstal,Prislistetillæg!$A$5:$C$61,3,FALSE)/VLOOKUP(Produktionsår,Prislistetillæg!$A$5:$C$61,3,FALSE))</f>
        <v>100.41392049388855</v>
      </c>
    </row>
    <row r="25" spans="1:11" ht="24.75" customHeight="1" x14ac:dyDescent="0.3">
      <c r="B25" s="26" t="s">
        <v>66</v>
      </c>
      <c r="C25" s="110" t="s">
        <v>67</v>
      </c>
      <c r="D25" s="111"/>
      <c r="E25" s="111"/>
      <c r="F25" s="111"/>
      <c r="G25" s="111"/>
      <c r="H25" s="112"/>
      <c r="I25" s="28">
        <v>5.76</v>
      </c>
      <c r="J25" s="38">
        <f>(2*I25)*2</f>
        <v>23.04</v>
      </c>
      <c r="K25" s="50">
        <f>J25*(VLOOKUP(OpdateretÅrstal,Prislistetillæg!$A$5:$C$61,3,FALSE)/VLOOKUP(Produktionsår,Prislistetillæg!$A$5:$C$61,3,FALSE))</f>
        <v>37.697433457048135</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3630.2120000000004</v>
      </c>
      <c r="K27" s="48">
        <f>J27*(VLOOKUP(OpdateretÅrstal,Prislistetillæg!$A$5:$C$61,3,FALSE)/VLOOKUP(Produktionsår,Prislistetillæg!$A$5:$C$61,3,FALSE))</f>
        <v>5939.6560462229872</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106.7709411764706</v>
      </c>
      <c r="K29" s="49">
        <f>J29*(VLOOKUP(OpdateretÅrstal,Prislistetillæg!$A$5:$C$61,3,FALSE)/VLOOKUP(Produktionsår,Prislistetillæg!$A$5:$C$61,3,FALSE))</f>
        <v>174.69576606538197</v>
      </c>
    </row>
    <row r="32" spans="1:11" x14ac:dyDescent="0.3">
      <c r="A32" t="s">
        <v>70</v>
      </c>
    </row>
    <row r="33" spans="1:4" x14ac:dyDescent="0.3">
      <c r="A33" t="s">
        <v>71</v>
      </c>
    </row>
    <row r="36" spans="1:4" x14ac:dyDescent="0.3">
      <c r="A36" t="s">
        <v>75</v>
      </c>
      <c r="D36" t="s">
        <v>84</v>
      </c>
    </row>
    <row r="37" spans="1:4" x14ac:dyDescent="0.3">
      <c r="D37" t="s">
        <v>85</v>
      </c>
    </row>
    <row r="38" spans="1:4" x14ac:dyDescent="0.3">
      <c r="D38" t="s">
        <v>86</v>
      </c>
    </row>
    <row r="40" spans="1:4" x14ac:dyDescent="0.3">
      <c r="A40" t="s">
        <v>79</v>
      </c>
      <c r="D40" t="s">
        <v>80</v>
      </c>
    </row>
    <row r="41" spans="1:4" x14ac:dyDescent="0.3">
      <c r="D41" t="s">
        <v>81</v>
      </c>
    </row>
    <row r="43" spans="1:4" x14ac:dyDescent="0.3">
      <c r="D43" t="s">
        <v>82</v>
      </c>
    </row>
    <row r="44" spans="1:4" x14ac:dyDescent="0.3">
      <c r="D44" t="s">
        <v>92</v>
      </c>
    </row>
  </sheetData>
  <mergeCells count="25">
    <mergeCell ref="C16:H16"/>
    <mergeCell ref="A1:K1"/>
    <mergeCell ref="A6:B6"/>
    <mergeCell ref="D6:E6"/>
    <mergeCell ref="G6:I6"/>
    <mergeCell ref="C10:H10"/>
    <mergeCell ref="C11:H11"/>
    <mergeCell ref="C12:H12"/>
    <mergeCell ref="C13:H13"/>
    <mergeCell ref="C14:H14"/>
    <mergeCell ref="C15:H15"/>
    <mergeCell ref="C9:H9"/>
    <mergeCell ref="C27:H27"/>
    <mergeCell ref="C28:H28"/>
    <mergeCell ref="C29:H29"/>
    <mergeCell ref="C17:H17"/>
    <mergeCell ref="C18:H18"/>
    <mergeCell ref="C19:H19"/>
    <mergeCell ref="C20:H20"/>
    <mergeCell ref="C21:H21"/>
    <mergeCell ref="C26:H26"/>
    <mergeCell ref="C22:H22"/>
    <mergeCell ref="C23:H23"/>
    <mergeCell ref="C24:H24"/>
    <mergeCell ref="C25:H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rgb="FFFF000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98" t="s">
        <v>94</v>
      </c>
      <c r="B1" s="99"/>
      <c r="C1" s="99"/>
      <c r="D1" s="99"/>
      <c r="E1" s="99"/>
      <c r="F1" s="99"/>
      <c r="G1" s="99"/>
      <c r="H1" s="99"/>
      <c r="I1" s="99"/>
      <c r="J1" s="99"/>
      <c r="K1" s="100"/>
    </row>
    <row r="3" spans="1:11" x14ac:dyDescent="0.3">
      <c r="A3" t="s">
        <v>29</v>
      </c>
      <c r="D3" s="36">
        <v>2014</v>
      </c>
      <c r="E3" t="s">
        <v>30</v>
      </c>
    </row>
    <row r="6" spans="1:11" x14ac:dyDescent="0.3">
      <c r="A6" s="102" t="s">
        <v>31</v>
      </c>
      <c r="B6" s="103"/>
      <c r="C6" s="34">
        <v>20</v>
      </c>
      <c r="D6" s="102" t="s">
        <v>32</v>
      </c>
      <c r="E6" s="103"/>
      <c r="F6" s="34">
        <v>2.4</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1623.3600000000001</v>
      </c>
      <c r="K11" s="50">
        <f>J11*(VLOOKUP(OpdateretÅrstal,Prislistetillæg!$A$5:$C$61,3,FALSE)/VLOOKUP(Produktionsår,Prislistetillæg!$A$5:$C$61,3,FALSE))</f>
        <v>2656.0983323278501</v>
      </c>
    </row>
    <row r="12" spans="1:11" ht="24.75" customHeight="1" x14ac:dyDescent="0.3">
      <c r="B12" s="26" t="s">
        <v>42</v>
      </c>
      <c r="C12" s="101" t="s">
        <v>43</v>
      </c>
      <c r="D12" s="101"/>
      <c r="E12" s="101"/>
      <c r="F12" s="101"/>
      <c r="G12" s="101"/>
      <c r="H12" s="101"/>
      <c r="I12" s="28">
        <v>7.33</v>
      </c>
      <c r="J12" s="38">
        <f>($C$6*$F$6)*I12</f>
        <v>351.84000000000003</v>
      </c>
      <c r="K12" s="50">
        <f>J12*(VLOOKUP(OpdateretÅrstal,Prislistetillæg!$A$5:$C$61,3,FALSE)/VLOOKUP(Produktionsår,Prislistetillæg!$A$5:$C$61,3,FALSE))</f>
        <v>575.67122341700588</v>
      </c>
    </row>
    <row r="13" spans="1:11" x14ac:dyDescent="0.3">
      <c r="B13" s="26" t="s">
        <v>44</v>
      </c>
      <c r="C13" s="101" t="s">
        <v>45</v>
      </c>
      <c r="D13" s="101"/>
      <c r="E13" s="101"/>
      <c r="F13" s="101"/>
      <c r="G13" s="101"/>
      <c r="H13" s="101"/>
      <c r="I13" s="28">
        <v>18.29</v>
      </c>
      <c r="J13" s="39">
        <f>($C$6*$F$6)*2*I13</f>
        <v>1755.84</v>
      </c>
      <c r="K13" s="50">
        <f>J13*(VLOOKUP(OpdateretÅrstal,Prislistetillæg!$A$5:$C$61,3,FALSE)/VLOOKUP(Produktionsår,Prislistetillæg!$A$5:$C$61,3,FALSE))</f>
        <v>2872.8585747058764</v>
      </c>
    </row>
    <row r="14" spans="1:11" ht="26.25" customHeight="1" x14ac:dyDescent="0.3">
      <c r="B14" s="26" t="s">
        <v>46</v>
      </c>
      <c r="C14" s="101" t="s">
        <v>47</v>
      </c>
      <c r="D14" s="101"/>
      <c r="E14" s="101"/>
      <c r="F14" s="101"/>
      <c r="G14" s="101"/>
      <c r="H14" s="101"/>
      <c r="I14" s="28">
        <v>9.36</v>
      </c>
      <c r="J14" s="39">
        <f>($C$6*$F$6)*2*I14</f>
        <v>898.56</v>
      </c>
      <c r="K14" s="50">
        <f>J14*(VLOOKUP(OpdateretÅrstal,Prislistetillæg!$A$5:$C$61,3,FALSE)/VLOOKUP(Produktionsår,Prislistetillæg!$A$5:$C$61,3,FALSE))</f>
        <v>1470.1999048248772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350.33600000000001</v>
      </c>
      <c r="K19" s="50">
        <f>J19*(VLOOKUP(OpdateretÅrstal,Prislistetillæg!$A$5:$C$61,3,FALSE)/VLOOKUP(Produktionsår,Prislistetillæg!$A$5:$C$61,3,FALSE))</f>
        <v>573.21041873300419</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5088.8960000000006</v>
      </c>
      <c r="K27" s="48">
        <f>J27*(VLOOKUP(OpdateretÅrstal,Prislistetillæg!$A$5:$C$61,3,FALSE)/VLOOKUP(Produktionsår,Prislistetillæg!$A$5:$C$61,3,FALSE))</f>
        <v>8326.3158997325718</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106.01866666666668</v>
      </c>
      <c r="K29" s="49">
        <f>J29*(VLOOKUP(OpdateretÅrstal,Prislistetillæg!$A$5:$C$61,3,FALSE)/VLOOKUP(Produktionsår,Prislistetillæg!$A$5:$C$61,3,FALSE))</f>
        <v>173.4649145777619</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7:H27"/>
    <mergeCell ref="C28:H28"/>
    <mergeCell ref="C29:H29"/>
    <mergeCell ref="C17:H17"/>
    <mergeCell ref="C18:H18"/>
    <mergeCell ref="C19:H19"/>
    <mergeCell ref="C20:H20"/>
    <mergeCell ref="C21:H21"/>
    <mergeCell ref="C26:H26"/>
    <mergeCell ref="C22:H22"/>
    <mergeCell ref="C23:H23"/>
    <mergeCell ref="C24:H24"/>
    <mergeCell ref="C25:H25"/>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tabColor rgb="FFFF000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98" t="s">
        <v>95</v>
      </c>
      <c r="B1" s="99"/>
      <c r="C1" s="99"/>
      <c r="D1" s="99"/>
      <c r="E1" s="99"/>
      <c r="F1" s="99"/>
      <c r="G1" s="99"/>
      <c r="H1" s="99"/>
      <c r="I1" s="99"/>
      <c r="J1" s="99"/>
      <c r="K1" s="100"/>
    </row>
    <row r="3" spans="1:11" x14ac:dyDescent="0.3">
      <c r="A3" t="s">
        <v>29</v>
      </c>
      <c r="D3" s="36">
        <v>2014</v>
      </c>
      <c r="E3" t="s">
        <v>30</v>
      </c>
    </row>
    <row r="6" spans="1:11" x14ac:dyDescent="0.3">
      <c r="A6" s="102" t="s">
        <v>31</v>
      </c>
      <c r="B6" s="103"/>
      <c r="C6" s="34">
        <v>20</v>
      </c>
      <c r="D6" s="102" t="s">
        <v>32</v>
      </c>
      <c r="E6" s="103"/>
      <c r="F6" s="34">
        <v>2.8</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1893.92</v>
      </c>
      <c r="K11" s="50">
        <f>J11*(VLOOKUP(OpdateretÅrstal,Prislistetillæg!$A$5:$C$61,3,FALSE)/VLOOKUP(Produktionsår,Prislistetillæg!$A$5:$C$61,3,FALSE))</f>
        <v>3098.7813877158246</v>
      </c>
    </row>
    <row r="12" spans="1:11" ht="24.75" customHeight="1" x14ac:dyDescent="0.3">
      <c r="B12" s="26" t="s">
        <v>42</v>
      </c>
      <c r="C12" s="101" t="s">
        <v>43</v>
      </c>
      <c r="D12" s="101"/>
      <c r="E12" s="101"/>
      <c r="F12" s="101"/>
      <c r="G12" s="101"/>
      <c r="H12" s="101"/>
      <c r="I12" s="28">
        <v>7.33</v>
      </c>
      <c r="J12" s="38">
        <f>($C$6*$F$6)*I12</f>
        <v>410.48</v>
      </c>
      <c r="K12" s="50">
        <f>J12*(VLOOKUP(OpdateretÅrstal,Prislistetillæg!$A$5:$C$61,3,FALSE)/VLOOKUP(Produktionsår,Prislistetillæg!$A$5:$C$61,3,FALSE))</f>
        <v>671.61642731984023</v>
      </c>
    </row>
    <row r="13" spans="1:11" x14ac:dyDescent="0.3">
      <c r="B13" s="26" t="s">
        <v>44</v>
      </c>
      <c r="C13" s="101" t="s">
        <v>45</v>
      </c>
      <c r="D13" s="101"/>
      <c r="E13" s="101"/>
      <c r="F13" s="101"/>
      <c r="G13" s="101"/>
      <c r="H13" s="101"/>
      <c r="I13" s="28">
        <v>18.29</v>
      </c>
      <c r="J13" s="39">
        <f>($C$6*$F$6)*2*I13</f>
        <v>2048.48</v>
      </c>
      <c r="K13" s="50">
        <f>J13*(VLOOKUP(OpdateretÅrstal,Prislistetillæg!$A$5:$C$61,3,FALSE)/VLOOKUP(Produktionsår,Prislistetillæg!$A$5:$C$61,3,FALSE))</f>
        <v>3351.6683371568561</v>
      </c>
    </row>
    <row r="14" spans="1:11" ht="26.25" customHeight="1" x14ac:dyDescent="0.3">
      <c r="B14" s="26" t="s">
        <v>46</v>
      </c>
      <c r="C14" s="101" t="s">
        <v>47</v>
      </c>
      <c r="D14" s="101"/>
      <c r="E14" s="101"/>
      <c r="F14" s="101"/>
      <c r="G14" s="101"/>
      <c r="H14" s="101"/>
      <c r="I14" s="28">
        <v>9.36</v>
      </c>
      <c r="J14" s="39">
        <f>($C$6*$F$6)*2*I14</f>
        <v>1048.32</v>
      </c>
      <c r="K14" s="50">
        <f>J14*(VLOOKUP(OpdateretÅrstal,Prislistetillæg!$A$5:$C$61,3,FALSE)/VLOOKUP(Produktionsår,Prislistetillæg!$A$5:$C$61,3,FALSE))</f>
        <v>1715.23322229569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114.80000000000001</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356.59200000000004</v>
      </c>
      <c r="K19" s="50">
        <f>J19*(VLOOKUP(OpdateretÅrstal,Prislistetillæg!$A$5:$C$61,3,FALSE)/VLOOKUP(Produktionsår,Prislistetillæg!$A$5:$C$61,3,FALSE))</f>
        <v>583.44631906752215</v>
      </c>
    </row>
    <row r="20" spans="1:11" ht="12.75" customHeight="1" x14ac:dyDescent="0.3">
      <c r="B20" s="26" t="s">
        <v>56</v>
      </c>
      <c r="C20" s="97" t="s">
        <v>57</v>
      </c>
      <c r="D20" s="97"/>
      <c r="E20" s="97"/>
      <c r="F20" s="97"/>
      <c r="G20" s="97"/>
      <c r="H20" s="97"/>
      <c r="I20" s="28">
        <v>1.93</v>
      </c>
      <c r="J20" s="51">
        <f>C6*I20</f>
        <v>38.6</v>
      </c>
      <c r="K20" s="50">
        <f>J20*(VLOOKUP(OpdateretÅrstal,Prislistetillæg!$A$5:$C$61,3,FALSE)/VLOOKUP(Produktionsår,Prislistetillæg!$A$5:$C$61,3,FALSE))</f>
        <v>63.156290427172657</v>
      </c>
    </row>
    <row r="21" spans="1:11" ht="12.75" customHeight="1" x14ac:dyDescent="0.3">
      <c r="B21" s="26" t="s">
        <v>58</v>
      </c>
      <c r="C21" s="97" t="s">
        <v>59</v>
      </c>
      <c r="D21" s="97"/>
      <c r="E21" s="97"/>
      <c r="F21" s="97"/>
      <c r="G21" s="97"/>
      <c r="H21" s="97"/>
      <c r="I21" s="28">
        <v>3.87</v>
      </c>
      <c r="J21" s="31">
        <f>C6*2*I21</f>
        <v>154.80000000000001</v>
      </c>
      <c r="K21" s="50">
        <f>J21*(VLOOKUP(OpdateretÅrstal,Prislistetillæg!$A$5:$C$61,3,FALSE)/VLOOKUP(Produktionsår,Prislistetillæg!$A$5:$C$61,3,FALSE))</f>
        <v>253.27963103954215</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5981.5519999999997</v>
      </c>
      <c r="K27" s="48">
        <f>J27*(VLOOKUP(OpdateretÅrstal,Prislistetillæg!$A$5:$C$61,3,FALSE)/VLOOKUP(Produktionsår,Prislistetillæg!$A$5:$C$61,3,FALSE))</f>
        <v>9786.8558372340776</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106.81342857142856</v>
      </c>
      <c r="K29" s="49">
        <f>J29*(VLOOKUP(OpdateretÅrstal,Prislistetillæg!$A$5:$C$61,3,FALSE)/VLOOKUP(Produktionsår,Prislistetillæg!$A$5:$C$61,3,FALSE))</f>
        <v>174.76528280775139</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tabColor rgb="FFFF0000"/>
  </sheetPr>
  <dimension ref="A1:K3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98" t="s">
        <v>96</v>
      </c>
      <c r="B1" s="99"/>
      <c r="C1" s="99"/>
      <c r="D1" s="99"/>
      <c r="E1" s="99"/>
      <c r="F1" s="99"/>
      <c r="G1" s="99"/>
      <c r="H1" s="99"/>
      <c r="I1" s="99"/>
      <c r="J1" s="99"/>
      <c r="K1" s="100"/>
    </row>
    <row r="3" spans="1:11" x14ac:dyDescent="0.3">
      <c r="A3" t="s">
        <v>29</v>
      </c>
      <c r="D3" s="36">
        <v>2014</v>
      </c>
      <c r="E3" t="s">
        <v>30</v>
      </c>
    </row>
    <row r="6" spans="1:11" x14ac:dyDescent="0.3">
      <c r="A6" s="102" t="s">
        <v>31</v>
      </c>
      <c r="B6" s="103"/>
      <c r="C6" s="34">
        <v>20</v>
      </c>
      <c r="D6" s="102" t="s">
        <v>32</v>
      </c>
      <c r="E6" s="103"/>
      <c r="F6" s="34">
        <v>3.6</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2435.04</v>
      </c>
      <c r="K11" s="50">
        <f>J11*(VLOOKUP(OpdateretÅrstal,Prislistetillæg!$A$5:$C$61,3,FALSE)/VLOOKUP(Produktionsår,Prislistetillæg!$A$5:$C$61,3,FALSE))</f>
        <v>3984.1474984917745</v>
      </c>
    </row>
    <row r="12" spans="1:11" ht="24.75" customHeight="1" x14ac:dyDescent="0.3">
      <c r="B12" s="26" t="s">
        <v>42</v>
      </c>
      <c r="C12" s="101" t="s">
        <v>43</v>
      </c>
      <c r="D12" s="101"/>
      <c r="E12" s="101"/>
      <c r="F12" s="101"/>
      <c r="G12" s="101"/>
      <c r="H12" s="101"/>
      <c r="I12" s="28">
        <v>7.33</v>
      </c>
      <c r="J12" s="38">
        <f>($C$6*$F$6)*I12</f>
        <v>527.76</v>
      </c>
      <c r="K12" s="50">
        <f>J12*(VLOOKUP(OpdateretÅrstal,Prislistetillæg!$A$5:$C$61,3,FALSE)/VLOOKUP(Produktionsår,Prislistetillæg!$A$5:$C$61,3,FALSE))</f>
        <v>863.50683512550881</v>
      </c>
    </row>
    <row r="13" spans="1:11" x14ac:dyDescent="0.3">
      <c r="B13" s="26" t="s">
        <v>44</v>
      </c>
      <c r="C13" s="101" t="s">
        <v>45</v>
      </c>
      <c r="D13" s="101"/>
      <c r="E13" s="101"/>
      <c r="F13" s="101"/>
      <c r="G13" s="101"/>
      <c r="H13" s="101"/>
      <c r="I13" s="28">
        <v>18.29</v>
      </c>
      <c r="J13" s="39">
        <f>($C$6*$F$6)*2*I13</f>
        <v>2633.7599999999998</v>
      </c>
      <c r="K13" s="50">
        <f>J13*(VLOOKUP(OpdateretÅrstal,Prislistetillæg!$A$5:$C$61,3,FALSE)/VLOOKUP(Produktionsår,Prislistetillæg!$A$5:$C$61,3,FALSE))</f>
        <v>4309.2878620588144</v>
      </c>
    </row>
    <row r="14" spans="1:11" ht="25.5" customHeight="1" x14ac:dyDescent="0.3">
      <c r="B14" s="26" t="s">
        <v>46</v>
      </c>
      <c r="C14" s="101" t="s">
        <v>47</v>
      </c>
      <c r="D14" s="101"/>
      <c r="E14" s="101"/>
      <c r="F14" s="101"/>
      <c r="G14" s="101"/>
      <c r="H14" s="101"/>
      <c r="I14" s="28">
        <v>9.36</v>
      </c>
      <c r="J14" s="39">
        <f>($C$6*$F$6)*2*I14</f>
        <v>1347.84</v>
      </c>
      <c r="K14" s="50">
        <f>J14*(VLOOKUP(OpdateretÅrstal,Prislistetillæg!$A$5:$C$61,3,FALSE)/VLOOKUP(Produktionsår,Prislistetillæg!$A$5:$C$61,3,FALSE))</f>
        <v>2205.2998572373158</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2*C6*I17</f>
        <v>114.80000000000001</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5.5" customHeight="1" x14ac:dyDescent="0.3">
      <c r="B19" s="26" t="s">
        <v>54</v>
      </c>
      <c r="C19" s="97" t="s">
        <v>55</v>
      </c>
      <c r="D19" s="97"/>
      <c r="E19" s="97"/>
      <c r="F19" s="97"/>
      <c r="G19" s="97"/>
      <c r="H19" s="97"/>
      <c r="I19" s="28">
        <v>3.91</v>
      </c>
      <c r="J19" s="52">
        <f>2*(2*(C6+F6))*I19</f>
        <v>369.10400000000004</v>
      </c>
      <c r="K19" s="50">
        <f>J19*(VLOOKUP(OpdateretÅrstal,Prislistetillæg!$A$5:$C$61,3,FALSE)/VLOOKUP(Produktionsår,Prislistetillæg!$A$5:$C$61,3,FALSE))</f>
        <v>603.91811973655797</v>
      </c>
    </row>
    <row r="20" spans="1:11" x14ac:dyDescent="0.3">
      <c r="B20" s="26" t="s">
        <v>56</v>
      </c>
      <c r="C20" s="97" t="s">
        <v>57</v>
      </c>
      <c r="D20" s="97"/>
      <c r="E20" s="97"/>
      <c r="F20" s="97"/>
      <c r="G20" s="97"/>
      <c r="H20" s="97"/>
      <c r="I20" s="28">
        <v>2.91</v>
      </c>
      <c r="J20" s="51">
        <f>C6*I20</f>
        <v>58.2</v>
      </c>
      <c r="K20" s="50">
        <f>J20*(VLOOKUP(OpdateretÅrstal,Prislistetillæg!$A$5:$C$61,3,FALSE)/VLOOKUP(Produktionsår,Prislistetillæg!$A$5:$C$61,3,FALSE))</f>
        <v>95.22528763889764</v>
      </c>
    </row>
    <row r="21" spans="1:11" x14ac:dyDescent="0.3">
      <c r="B21" s="26" t="s">
        <v>58</v>
      </c>
      <c r="C21" s="97" t="s">
        <v>59</v>
      </c>
      <c r="D21" s="97"/>
      <c r="E21" s="97"/>
      <c r="F21" s="97"/>
      <c r="G21" s="97"/>
      <c r="H21" s="97"/>
      <c r="I21" s="28">
        <v>5.79</v>
      </c>
      <c r="J21" s="31">
        <f>C6*2*I21</f>
        <v>231.6</v>
      </c>
      <c r="K21" s="50">
        <f>J21*(VLOOKUP(OpdateretÅrstal,Prislistetillæg!$A$5:$C$61,3,FALSE)/VLOOKUP(Produktionsår,Prislistetillæg!$A$5:$C$61,3,FALSE))</f>
        <v>378.9377425630359</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7537.2640000000001</v>
      </c>
      <c r="K27" s="48">
        <f>J27*(VLOOKUP(OpdateretÅrstal,Prislistetillæg!$A$5:$C$61,3,FALSE)/VLOOKUP(Produktionsår,Prislistetillæg!$A$5:$C$61,3,FALSE))</f>
        <v>12332.270316328319</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104.68422222222222</v>
      </c>
      <c r="K29" s="49">
        <f>J29*(VLOOKUP(OpdateretÅrstal,Prislistetillæg!$A$5:$C$61,3,FALSE)/VLOOKUP(Produktionsår,Prislistetillæg!$A$5:$C$61,3,FALSE))</f>
        <v>171.28153217122662</v>
      </c>
    </row>
    <row r="32" spans="1:1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tabColor rgb="FFFF0000"/>
  </sheetPr>
  <dimension ref="A1:K44"/>
  <sheetViews>
    <sheetView workbookViewId="0">
      <selection activeCell="N17" sqref="N17"/>
    </sheetView>
  </sheetViews>
  <sheetFormatPr defaultRowHeight="13.5" x14ac:dyDescent="0.3"/>
  <cols>
    <col min="9" max="9" width="9.4609375" bestFit="1" customWidth="1"/>
    <col min="10" max="11" width="13.23046875" bestFit="1" customWidth="1"/>
  </cols>
  <sheetData>
    <row r="1" spans="1:11" ht="14" thickBot="1" x14ac:dyDescent="0.35">
      <c r="A1" s="98" t="s">
        <v>97</v>
      </c>
      <c r="B1" s="99"/>
      <c r="C1" s="99"/>
      <c r="D1" s="99"/>
      <c r="E1" s="99"/>
      <c r="F1" s="99"/>
      <c r="G1" s="99"/>
      <c r="H1" s="99"/>
      <c r="I1" s="99"/>
      <c r="J1" s="99"/>
      <c r="K1" s="100"/>
    </row>
    <row r="3" spans="1:11" x14ac:dyDescent="0.3">
      <c r="A3" t="s">
        <v>29</v>
      </c>
      <c r="D3" s="36">
        <v>2014</v>
      </c>
      <c r="E3" t="s">
        <v>30</v>
      </c>
    </row>
    <row r="6" spans="1:11" x14ac:dyDescent="0.3">
      <c r="A6" s="102" t="s">
        <v>31</v>
      </c>
      <c r="B6" s="103"/>
      <c r="C6" s="34">
        <v>20</v>
      </c>
      <c r="D6" s="102" t="s">
        <v>32</v>
      </c>
      <c r="E6" s="103"/>
      <c r="F6" s="34">
        <v>5</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3382</v>
      </c>
      <c r="K11" s="50">
        <f>J11*(VLOOKUP(OpdateretÅrstal,Prislistetillæg!$A$5:$C$61,3,FALSE)/VLOOKUP(Produktionsår,Prislistetillæg!$A$5:$C$61,3,FALSE))</f>
        <v>5533.5381923496871</v>
      </c>
    </row>
    <row r="12" spans="1:11" ht="24" customHeight="1" x14ac:dyDescent="0.3">
      <c r="B12" s="26" t="s">
        <v>42</v>
      </c>
      <c r="C12" s="101" t="s">
        <v>43</v>
      </c>
      <c r="D12" s="101"/>
      <c r="E12" s="101"/>
      <c r="F12" s="101"/>
      <c r="G12" s="101"/>
      <c r="H12" s="101"/>
      <c r="I12" s="28">
        <v>7.33</v>
      </c>
      <c r="J12" s="38">
        <f>($C$6*$F$6)*I12</f>
        <v>733</v>
      </c>
      <c r="K12" s="50">
        <f>J12*(VLOOKUP(OpdateretÅrstal,Prislistetillæg!$A$5:$C$61,3,FALSE)/VLOOKUP(Produktionsår,Prislistetillæg!$A$5:$C$61,3,FALSE))</f>
        <v>1199.3150487854289</v>
      </c>
    </row>
    <row r="13" spans="1:11" ht="12" customHeight="1" x14ac:dyDescent="0.3">
      <c r="B13" s="26" t="s">
        <v>44</v>
      </c>
      <c r="C13" s="101" t="s">
        <v>45</v>
      </c>
      <c r="D13" s="101"/>
      <c r="E13" s="101"/>
      <c r="F13" s="101"/>
      <c r="G13" s="101"/>
      <c r="H13" s="101"/>
      <c r="I13" s="28">
        <v>18.29</v>
      </c>
      <c r="J13" s="39">
        <f>($C$6*$F$6)*2*I13</f>
        <v>3658</v>
      </c>
      <c r="K13" s="50">
        <f>J13*(VLOOKUP(OpdateretÅrstal,Prislistetillæg!$A$5:$C$61,3,FALSE)/VLOOKUP(Produktionsår,Prislistetillæg!$A$5:$C$61,3,FALSE))</f>
        <v>5985.1220306372425</v>
      </c>
    </row>
    <row r="14" spans="1:11" ht="24.75" customHeight="1" x14ac:dyDescent="0.3">
      <c r="B14" s="26" t="s">
        <v>46</v>
      </c>
      <c r="C14" s="101" t="s">
        <v>47</v>
      </c>
      <c r="D14" s="101"/>
      <c r="E14" s="101"/>
      <c r="F14" s="101"/>
      <c r="G14" s="101"/>
      <c r="H14" s="101"/>
      <c r="I14" s="28">
        <v>9.36</v>
      </c>
      <c r="J14" s="39">
        <f>($C$6*$F$6)*2*I14</f>
        <v>1872</v>
      </c>
      <c r="K14" s="50">
        <f>J14*(VLOOKUP(OpdateretÅrstal,Prislistetillæg!$A$5:$C$61,3,FALSE)/VLOOKUP(Produktionsår,Prislistetillæg!$A$5:$C$61,3,FALSE))</f>
        <v>3062.9164683851609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4*C6*I17</f>
        <v>229.60000000000002</v>
      </c>
      <c r="K17" s="50">
        <f>J17*(VLOOKUP(OpdateretÅrstal,Prislistetillæg!$A$5:$C$61,3,FALSE)/VLOOKUP(Produktionsår,Prislistetillæg!$A$5:$C$61,3,FALSE))</f>
        <v>375.66539590877829</v>
      </c>
    </row>
    <row r="18" spans="1:11" ht="26.25" customHeight="1" x14ac:dyDescent="0.3">
      <c r="B18" s="26" t="s">
        <v>54</v>
      </c>
      <c r="C18" s="97" t="s">
        <v>55</v>
      </c>
      <c r="D18" s="97"/>
      <c r="E18" s="97"/>
      <c r="F18" s="97"/>
      <c r="G18" s="97"/>
      <c r="H18" s="97"/>
      <c r="I18" s="28">
        <v>3.91</v>
      </c>
      <c r="J18" s="52">
        <f>2*(2*(C6+F6))*I18</f>
        <v>391</v>
      </c>
      <c r="K18" s="50">
        <f>J18*(VLOOKUP(OpdateretÅrstal,Prislistetillæg!$A$5:$C$61,3,FALSE)/VLOOKUP(Produktionsår,Prislistetillæg!$A$5:$C$61,3,FALSE))</f>
        <v>639.74377090737062</v>
      </c>
    </row>
    <row r="19" spans="1:11" ht="12.75" customHeight="1" x14ac:dyDescent="0.3">
      <c r="B19" s="26" t="s">
        <v>98</v>
      </c>
      <c r="C19" s="110" t="s">
        <v>99</v>
      </c>
      <c r="D19" s="111"/>
      <c r="E19" s="111"/>
      <c r="F19" s="111"/>
      <c r="G19" s="111"/>
      <c r="H19" s="112"/>
      <c r="I19" s="73">
        <v>5.0000000000000001E-3</v>
      </c>
      <c r="J19" s="72">
        <f>(SUM(J11:J18)/100)*0.5</f>
        <v>51.872799999999998</v>
      </c>
      <c r="K19" s="50">
        <f>J19*(VLOOKUP(OpdateretÅrstal,Prislistetillæg!$A$5:$C$61,3,FALSE)/VLOOKUP(Produktionsår,Prislistetillæg!$A$5:$C$61,3,FALSE))</f>
        <v>84.872891763488127</v>
      </c>
    </row>
    <row r="20" spans="1:11" x14ac:dyDescent="0.3">
      <c r="B20" s="26" t="s">
        <v>56</v>
      </c>
      <c r="C20" s="97" t="s">
        <v>57</v>
      </c>
      <c r="D20" s="97"/>
      <c r="E20" s="97"/>
      <c r="F20" s="97"/>
      <c r="G20" s="97"/>
      <c r="H20" s="97"/>
      <c r="I20" s="28">
        <v>5.32</v>
      </c>
      <c r="J20" s="51">
        <f>C6*I20</f>
        <v>106.4</v>
      </c>
      <c r="K20" s="50">
        <f>J20*(VLOOKUP(OpdateretÅrstal,Prislistetillæg!$A$5:$C$61,3,FALSE)/VLOOKUP(Produktionsår,Prislistetillæg!$A$5:$C$61,3,FALSE))</f>
        <v>174.08884200650701</v>
      </c>
    </row>
    <row r="21" spans="1:11" x14ac:dyDescent="0.3">
      <c r="B21" s="26" t="s">
        <v>58</v>
      </c>
      <c r="C21" s="97" t="s">
        <v>59</v>
      </c>
      <c r="D21" s="97"/>
      <c r="E21" s="97"/>
      <c r="F21" s="97"/>
      <c r="G21" s="97"/>
      <c r="H21" s="97"/>
      <c r="I21" s="28">
        <v>10.63</v>
      </c>
      <c r="J21" s="31">
        <f>C6*2*I21</f>
        <v>425.20000000000005</v>
      </c>
      <c r="K21" s="50">
        <f>J21*(VLOOKUP(OpdateretÅrstal,Prislistetillæg!$A$5:$C$61,3,FALSE)/VLOOKUP(Produktionsår,Prislistetillæg!$A$5:$C$61,3,FALSE))</f>
        <v>695.70089869517653</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(2*I25)*8</f>
        <v>92.16</v>
      </c>
      <c r="K25" s="50">
        <f>J25*(VLOOKUP(OpdateretÅrstal,Prislistetillæg!$A$5:$C$61,3,FALSE)/VLOOKUP(Produktionsår,Prislistetillæg!$A$5:$C$61,3,FALSE))</f>
        <v>150.78973382819254</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SUM(J11:J18)</f>
        <v>10374.56</v>
      </c>
      <c r="K27" s="48">
        <f>J27*(VLOOKUP(OpdateretÅrstal,Prislistetillæg!$A$5:$C$61,3,FALSE)/VLOOKUP(Produktionsår,Prislistetillæg!$A$5:$C$61,3,FALSE))</f>
        <v>16974.578352697623</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103.7456</v>
      </c>
      <c r="K29" s="49">
        <f>J29*(VLOOKUP(OpdateretÅrstal,Prislistetillæg!$A$5:$C$61,3,FALSE)/VLOOKUP(Produktionsår,Prislistetillæg!$A$5:$C$61,3,FALSE))</f>
        <v>169.74578352697625</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row r="44" spans="1:4" x14ac:dyDescent="0.3">
      <c r="D44" t="s">
        <v>100</v>
      </c>
    </row>
  </sheetData>
  <mergeCells count="25">
    <mergeCell ref="C27:H27"/>
    <mergeCell ref="C28:H28"/>
    <mergeCell ref="C29:H29"/>
    <mergeCell ref="C22:H22"/>
    <mergeCell ref="C23:H23"/>
    <mergeCell ref="C24:H24"/>
    <mergeCell ref="C25:H25"/>
    <mergeCell ref="C26:H26"/>
    <mergeCell ref="C17:H17"/>
    <mergeCell ref="C18:H18"/>
    <mergeCell ref="C20:H20"/>
    <mergeCell ref="C21:H21"/>
    <mergeCell ref="C19:H19"/>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rgb="FF00B050"/>
  </sheetPr>
  <dimension ref="A1:K33"/>
  <sheetViews>
    <sheetView workbookViewId="0">
      <selection activeCell="N17" sqref="N17"/>
    </sheetView>
  </sheetViews>
  <sheetFormatPr defaultRowHeight="13.5" x14ac:dyDescent="0.3"/>
  <cols>
    <col min="9" max="10" width="10.4609375" bestFit="1" customWidth="1"/>
    <col min="11" max="11" width="12" bestFit="1" customWidth="1"/>
  </cols>
  <sheetData>
    <row r="1" spans="1:11" ht="14" thickBot="1" x14ac:dyDescent="0.35">
      <c r="A1" s="119" t="s">
        <v>101</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v>
      </c>
      <c r="D6" s="102" t="s">
        <v>32</v>
      </c>
      <c r="E6" s="103"/>
      <c r="F6" s="34">
        <v>2.4</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142.416</v>
      </c>
      <c r="K11" s="50">
        <f>J11*(VLOOKUP(OpdateretÅrstal,Prislistetillæg!$A$5:$C$61,3,FALSE)/VLOOKUP(Produktionsår,Prislistetillæg!$A$5:$C$61,3,FALSE))</f>
        <v>233.01726055637877</v>
      </c>
    </row>
    <row r="12" spans="1:11" ht="24.75" customHeight="1" x14ac:dyDescent="0.3">
      <c r="B12" s="26" t="s">
        <v>42</v>
      </c>
      <c r="C12" s="101" t="s">
        <v>43</v>
      </c>
      <c r="D12" s="101"/>
      <c r="E12" s="101"/>
      <c r="F12" s="101"/>
      <c r="G12" s="101"/>
      <c r="H12" s="101"/>
      <c r="I12" s="28">
        <v>7.33</v>
      </c>
      <c r="J12" s="38">
        <f>($C$6*$F$6)*I12</f>
        <v>35.183999999999997</v>
      </c>
      <c r="K12" s="50">
        <f>J12*(VLOOKUP(OpdateretÅrstal,Prislistetillæg!$A$5:$C$61,3,FALSE)/VLOOKUP(Produktionsår,Prislistetillæg!$A$5:$C$61,3,FALSE))</f>
        <v>57.567122341700582</v>
      </c>
    </row>
    <row r="13" spans="1:11" x14ac:dyDescent="0.3">
      <c r="B13" s="26" t="s">
        <v>44</v>
      </c>
      <c r="C13" s="101" t="s">
        <v>45</v>
      </c>
      <c r="D13" s="101"/>
      <c r="E13" s="101"/>
      <c r="F13" s="101"/>
      <c r="G13" s="101"/>
      <c r="H13" s="101"/>
      <c r="I13" s="28">
        <v>15.49</v>
      </c>
      <c r="J13" s="39">
        <f>($C$6*$F$6)*2*I13</f>
        <v>148.70400000000001</v>
      </c>
      <c r="K13" s="50">
        <f>J13*(VLOOKUP(OpdateretÅrstal,Prislistetillæg!$A$5:$C$61,3,FALSE)/VLOOKUP(Produktionsår,Prislistetillæg!$A$5:$C$61,3,FALSE))</f>
        <v>243.30551843736484</v>
      </c>
    </row>
    <row r="14" spans="1:11" ht="26.25" customHeight="1" x14ac:dyDescent="0.3">
      <c r="B14" s="26" t="s">
        <v>46</v>
      </c>
      <c r="C14" s="101" t="s">
        <v>47</v>
      </c>
      <c r="D14" s="101"/>
      <c r="E14" s="101"/>
      <c r="F14" s="101"/>
      <c r="G14" s="101"/>
      <c r="H14" s="101"/>
      <c r="I14" s="28">
        <v>9.36</v>
      </c>
      <c r="J14" s="39">
        <f>($C$6*$F$6)*2*I14</f>
        <v>89.855999999999995</v>
      </c>
      <c r="K14" s="50">
        <f>J14*(VLOOKUP(OpdateretÅrstal,Prislistetillæg!$A$5:$C$61,3,FALSE)/VLOOKUP(Produktionsår,Prislistetillæg!$A$5:$C$61,3,FALSE))</f>
        <v>147.01999048248771</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68.816000000000003</v>
      </c>
      <c r="K19" s="50">
        <f>J19*(VLOOKUP(OpdateretÅrstal,Prislistetillæg!$A$5:$C$61,3,FALSE)/VLOOKUP(Produktionsår,Prislistetillæg!$A$5:$C$61,3,FALSE))</f>
        <v>112.59490367969724</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593.93600000000004</v>
      </c>
      <c r="K27" s="48">
        <f>J27*(VLOOKUP(OpdateretÅrstal,Prislistetillæg!$A$5:$C$61,3,FALSE)/VLOOKUP(Produktionsår,Prislistetillæg!$A$5:$C$61,3,FALSE))</f>
        <v>971.78224122158599</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123.73666666666668</v>
      </c>
      <c r="K29" s="49">
        <f>J29*(VLOOKUP(OpdateretÅrstal,Prislistetillæg!$A$5:$C$61,3,FALSE)/VLOOKUP(Produktionsår,Prislistetillæg!$A$5:$C$61,3,FALSE))</f>
        <v>202.45463358783041</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rgb="FF00B050"/>
  </sheetPr>
  <dimension ref="A1:K33"/>
  <sheetViews>
    <sheetView workbookViewId="0">
      <selection activeCell="N17" sqref="N17"/>
    </sheetView>
  </sheetViews>
  <sheetFormatPr defaultRowHeight="13.5" x14ac:dyDescent="0.3"/>
  <cols>
    <col min="9" max="10" width="10.4609375" bestFit="1" customWidth="1"/>
    <col min="11" max="11" width="12" bestFit="1" customWidth="1"/>
  </cols>
  <sheetData>
    <row r="1" spans="1:11" ht="14" thickBot="1" x14ac:dyDescent="0.35">
      <c r="A1" s="119" t="s">
        <v>102</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v>
      </c>
      <c r="D6" s="102" t="s">
        <v>32</v>
      </c>
      <c r="E6" s="103"/>
      <c r="F6" s="34">
        <v>2.8</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166.15199999999999</v>
      </c>
      <c r="K11" s="50">
        <f>J11*(VLOOKUP(OpdateretÅrstal,Prislistetillæg!$A$5:$C$61,3,FALSE)/VLOOKUP(Produktionsår,Prislistetillæg!$A$5:$C$61,3,FALSE))</f>
        <v>271.85347064910854</v>
      </c>
    </row>
    <row r="12" spans="1:11" ht="24.75" customHeight="1" x14ac:dyDescent="0.3">
      <c r="B12" s="26" t="s">
        <v>42</v>
      </c>
      <c r="C12" s="101" t="s">
        <v>43</v>
      </c>
      <c r="D12" s="101"/>
      <c r="E12" s="101"/>
      <c r="F12" s="101"/>
      <c r="G12" s="101"/>
      <c r="H12" s="101"/>
      <c r="I12" s="28">
        <v>7.33</v>
      </c>
      <c r="J12" s="38">
        <f>($C$6*$F$6)*I12</f>
        <v>41.047999999999995</v>
      </c>
      <c r="K12" s="50">
        <f>J12*(VLOOKUP(OpdateretÅrstal,Prislistetillæg!$A$5:$C$61,3,FALSE)/VLOOKUP(Produktionsår,Prislistetillæg!$A$5:$C$61,3,FALSE))</f>
        <v>67.161642731984003</v>
      </c>
    </row>
    <row r="13" spans="1:11" x14ac:dyDescent="0.3">
      <c r="B13" s="26" t="s">
        <v>44</v>
      </c>
      <c r="C13" s="101" t="s">
        <v>45</v>
      </c>
      <c r="D13" s="101"/>
      <c r="E13" s="101"/>
      <c r="F13" s="101"/>
      <c r="G13" s="101"/>
      <c r="H13" s="101"/>
      <c r="I13" s="28">
        <v>15.49</v>
      </c>
      <c r="J13" s="39">
        <f>($C$6*$F$6)*2*I13</f>
        <v>173.488</v>
      </c>
      <c r="K13" s="50">
        <f>J13*(VLOOKUP(OpdateretÅrstal,Prislistetillæg!$A$5:$C$61,3,FALSE)/VLOOKUP(Produktionsår,Prislistetillæg!$A$5:$C$61,3,FALSE))</f>
        <v>283.85643817692562</v>
      </c>
    </row>
    <row r="14" spans="1:11" ht="26.25" customHeight="1" x14ac:dyDescent="0.3">
      <c r="B14" s="26" t="s">
        <v>46</v>
      </c>
      <c r="C14" s="101" t="s">
        <v>47</v>
      </c>
      <c r="D14" s="101"/>
      <c r="E14" s="101"/>
      <c r="F14" s="101"/>
      <c r="G14" s="101"/>
      <c r="H14" s="101"/>
      <c r="I14" s="28">
        <v>9.36</v>
      </c>
      <c r="J14" s="39">
        <f>($C$6*$F$6)*2*I14</f>
        <v>104.83199999999999</v>
      </c>
      <c r="K14" s="50">
        <f>J14*(VLOOKUP(OpdateretÅrstal,Prislistetillæg!$A$5:$C$61,3,FALSE)/VLOOKUP(Produktionsår,Prislistetillæg!$A$5:$C$61,3,FALSE))</f>
        <v>171.523322229569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11.48</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75.072000000000003</v>
      </c>
      <c r="K19" s="50">
        <f>J19*(VLOOKUP(OpdateretÅrstal,Prislistetillæg!$A$5:$C$61,3,FALSE)/VLOOKUP(Produktionsår,Prislistetillæg!$A$5:$C$61,3,FALSE))</f>
        <v>122.83080401421518</v>
      </c>
    </row>
    <row r="20" spans="1:11" ht="12.75" customHeight="1" x14ac:dyDescent="0.3">
      <c r="B20" s="26" t="s">
        <v>56</v>
      </c>
      <c r="C20" s="97" t="s">
        <v>57</v>
      </c>
      <c r="D20" s="97"/>
      <c r="E20" s="97"/>
      <c r="F20" s="97"/>
      <c r="G20" s="97"/>
      <c r="H20" s="97"/>
      <c r="I20" s="28">
        <v>1.93</v>
      </c>
      <c r="J20" s="51">
        <f>C6*I20</f>
        <v>3.86</v>
      </c>
      <c r="K20" s="50">
        <f>J20*(VLOOKUP(OpdateretÅrstal,Prislistetillæg!$A$5:$C$61,3,FALSE)/VLOOKUP(Produktionsår,Prislistetillæg!$A$5:$C$61,3,FALSE))</f>
        <v>6.3156290427172657</v>
      </c>
    </row>
    <row r="21" spans="1:11" ht="12.75" customHeight="1" x14ac:dyDescent="0.3">
      <c r="B21" s="26" t="s">
        <v>58</v>
      </c>
      <c r="C21" s="97" t="s">
        <v>59</v>
      </c>
      <c r="D21" s="97"/>
      <c r="E21" s="97"/>
      <c r="F21" s="97"/>
      <c r="G21" s="97"/>
      <c r="H21" s="97"/>
      <c r="I21" s="28">
        <v>3.87</v>
      </c>
      <c r="J21" s="31">
        <f>C6*2*I21</f>
        <v>15.48</v>
      </c>
      <c r="K21" s="50">
        <f>J21*(VLOOKUP(OpdateretÅrstal,Prislistetillæg!$A$5:$C$61,3,FALSE)/VLOOKUP(Produktionsår,Prislistetillæg!$A$5:$C$61,3,FALSE))</f>
        <v>25.327963103954215</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681.03199999999993</v>
      </c>
      <c r="K27" s="48">
        <f>J27*(VLOOKUP(OpdateretÅrstal,Prislistetillæg!$A$5:$C$61,3,FALSE)/VLOOKUP(Produktionsår,Prislistetillæg!$A$5:$C$61,3,FALSE))</f>
        <v>1114.2863933211979</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121.61285714285714</v>
      </c>
      <c r="K29" s="49">
        <f>J29*(VLOOKUP(OpdateretÅrstal,Prislistetillæg!$A$5:$C$61,3,FALSE)/VLOOKUP(Produktionsår,Prislistetillæg!$A$5:$C$61,3,FALSE))</f>
        <v>198.97971309307107</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rgb="FF00B050"/>
  </sheetPr>
  <dimension ref="A1:K33"/>
  <sheetViews>
    <sheetView workbookViewId="0">
      <selection activeCell="N17" sqref="N17"/>
    </sheetView>
  </sheetViews>
  <sheetFormatPr defaultRowHeight="13.5" x14ac:dyDescent="0.3"/>
  <cols>
    <col min="9" max="9" width="9.4609375" bestFit="1" customWidth="1"/>
    <col min="10" max="11" width="10.4609375" bestFit="1" customWidth="1"/>
  </cols>
  <sheetData>
    <row r="1" spans="1:11" ht="14" thickBot="1" x14ac:dyDescent="0.35">
      <c r="A1" s="119" t="s">
        <v>103</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v>
      </c>
      <c r="D6" s="102" t="s">
        <v>32</v>
      </c>
      <c r="E6" s="103"/>
      <c r="F6" s="34">
        <v>3.6</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213.62400000000002</v>
      </c>
      <c r="K11" s="50">
        <f>J11*(VLOOKUP(OpdateretÅrstal,Prislistetillæg!$A$5:$C$61,3,FALSE)/VLOOKUP(Produktionsår,Prislistetillæg!$A$5:$C$61,3,FALSE))</f>
        <v>349.5258908345682</v>
      </c>
    </row>
    <row r="12" spans="1:11" ht="25.5" customHeight="1" x14ac:dyDescent="0.3">
      <c r="B12" s="26" t="s">
        <v>42</v>
      </c>
      <c r="C12" s="101" t="s">
        <v>43</v>
      </c>
      <c r="D12" s="101"/>
      <c r="E12" s="101"/>
      <c r="F12" s="101"/>
      <c r="G12" s="101"/>
      <c r="H12" s="101"/>
      <c r="I12" s="28">
        <v>7.33</v>
      </c>
      <c r="J12" s="38">
        <f>($C$6*$F$6)*I12</f>
        <v>52.776000000000003</v>
      </c>
      <c r="K12" s="50">
        <f>J12*(VLOOKUP(OpdateretÅrstal,Prislistetillæg!$A$5:$C$61,3,FALSE)/VLOOKUP(Produktionsår,Prislistetillæg!$A$5:$C$61,3,FALSE))</f>
        <v>86.350683512550887</v>
      </c>
    </row>
    <row r="13" spans="1:11" x14ac:dyDescent="0.3">
      <c r="B13" s="26" t="s">
        <v>44</v>
      </c>
      <c r="C13" s="101" t="s">
        <v>45</v>
      </c>
      <c r="D13" s="101"/>
      <c r="E13" s="101"/>
      <c r="F13" s="101"/>
      <c r="G13" s="101"/>
      <c r="H13" s="101"/>
      <c r="I13" s="28">
        <v>15.49</v>
      </c>
      <c r="J13" s="39">
        <f>($C$6*$F$6)*2*I13</f>
        <v>223.05600000000001</v>
      </c>
      <c r="K13" s="50">
        <f>J13*(VLOOKUP(OpdateretÅrstal,Prislistetillæg!$A$5:$C$61,3,FALSE)/VLOOKUP(Produktionsår,Prislistetillæg!$A$5:$C$61,3,FALSE))</f>
        <v>364.95827765604724</v>
      </c>
    </row>
    <row r="14" spans="1:11" ht="26.25" customHeight="1" x14ac:dyDescent="0.3">
      <c r="B14" s="26" t="s">
        <v>46</v>
      </c>
      <c r="C14" s="101" t="s">
        <v>47</v>
      </c>
      <c r="D14" s="101"/>
      <c r="E14" s="101"/>
      <c r="F14" s="101"/>
      <c r="G14" s="101"/>
      <c r="H14" s="101"/>
      <c r="I14" s="28">
        <v>9.36</v>
      </c>
      <c r="J14" s="39">
        <f>($C$6*$F$6)*2*I14</f>
        <v>134.78399999999999</v>
      </c>
      <c r="K14" s="50">
        <f>J14*(VLOOKUP(OpdateretÅrstal,Prislistetillæg!$A$5:$C$61,3,FALSE)/VLOOKUP(Produktionsår,Prislistetillæg!$A$5:$C$61,3,FALSE))</f>
        <v>220.52998572373156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2*C6*I17</f>
        <v>11.48</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87.584000000000003</v>
      </c>
      <c r="K19" s="50">
        <f>J19*(VLOOKUP(OpdateretÅrstal,Prislistetillæg!$A$5:$C$61,3,FALSE)/VLOOKUP(Produktionsår,Prislistetillæg!$A$5:$C$61,3,FALSE))</f>
        <v>143.30260468325105</v>
      </c>
    </row>
    <row r="20" spans="1:11" x14ac:dyDescent="0.3">
      <c r="B20" s="26" t="s">
        <v>56</v>
      </c>
      <c r="C20" s="97" t="s">
        <v>57</v>
      </c>
      <c r="D20" s="97"/>
      <c r="E20" s="97"/>
      <c r="F20" s="97"/>
      <c r="G20" s="97"/>
      <c r="H20" s="97"/>
      <c r="I20" s="28">
        <v>2.91</v>
      </c>
      <c r="J20" s="51">
        <f>C6*I20</f>
        <v>5.82</v>
      </c>
      <c r="K20" s="50">
        <f>J20*(VLOOKUP(OpdateretÅrstal,Prislistetillæg!$A$5:$C$61,3,FALSE)/VLOOKUP(Produktionsår,Prislistetillæg!$A$5:$C$61,3,FALSE))</f>
        <v>9.5225287638897633</v>
      </c>
    </row>
    <row r="21" spans="1:11" x14ac:dyDescent="0.3">
      <c r="B21" s="26" t="s">
        <v>58</v>
      </c>
      <c r="C21" s="97" t="s">
        <v>59</v>
      </c>
      <c r="D21" s="97"/>
      <c r="E21" s="97"/>
      <c r="F21" s="97"/>
      <c r="G21" s="97"/>
      <c r="H21" s="97"/>
      <c r="I21" s="28">
        <v>5.79</v>
      </c>
      <c r="J21" s="31">
        <f>C6*2*I21</f>
        <v>23.16</v>
      </c>
      <c r="K21" s="50">
        <f>J21*(VLOOKUP(OpdateretÅrstal,Prislistetillæg!$A$5:$C$61,3,FALSE)/VLOOKUP(Produktionsår,Prislistetillæg!$A$5:$C$61,3,FALSE))</f>
        <v>37.893774256303594</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832.2639999999999</v>
      </c>
      <c r="K27" s="48">
        <f>J27*(VLOOKUP(OpdateretÅrstal,Prislistetillæg!$A$5:$C$61,3,FALSE)/VLOOKUP(Produktionsår,Prislistetillæg!$A$5:$C$61,3,FALSE))</f>
        <v>1361.7281579295445</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115.5922222222222</v>
      </c>
      <c r="K29" s="49">
        <f>J29*(VLOOKUP(OpdateretÅrstal,Prislistetillæg!$A$5:$C$61,3,FALSE)/VLOOKUP(Produktionsår,Prislistetillæg!$A$5:$C$61,3,FALSE))</f>
        <v>189.12891082354784</v>
      </c>
    </row>
    <row r="32" spans="1:1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rgb="FF00B050"/>
  </sheetPr>
  <dimension ref="A1:K4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19" t="s">
        <v>104</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v>
      </c>
      <c r="D6" s="102" t="s">
        <v>32</v>
      </c>
      <c r="E6" s="103"/>
      <c r="F6" s="34">
        <v>5</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296.70000000000005</v>
      </c>
      <c r="K11" s="50">
        <f>J11*(VLOOKUP(OpdateretÅrstal,Prislistetillæg!$A$5:$C$61,3,FALSE)/VLOOKUP(Produktionsår,Prislistetillæg!$A$5:$C$61,3,FALSE))</f>
        <v>485.45262615912253</v>
      </c>
    </row>
    <row r="12" spans="1:11" ht="24.75" customHeight="1" x14ac:dyDescent="0.3">
      <c r="B12" s="26" t="s">
        <v>42</v>
      </c>
      <c r="C12" s="101" t="s">
        <v>43</v>
      </c>
      <c r="D12" s="101"/>
      <c r="E12" s="101"/>
      <c r="F12" s="101"/>
      <c r="G12" s="101"/>
      <c r="H12" s="101"/>
      <c r="I12" s="28">
        <v>7.33</v>
      </c>
      <c r="J12" s="38">
        <f>($C$6*$F$6)*I12</f>
        <v>73.3</v>
      </c>
      <c r="K12" s="50">
        <f>J12*(VLOOKUP(OpdateretÅrstal,Prislistetillæg!$A$5:$C$61,3,FALSE)/VLOOKUP(Produktionsår,Prislistetillæg!$A$5:$C$61,3,FALSE))</f>
        <v>119.93150487854288</v>
      </c>
    </row>
    <row r="13" spans="1:11" x14ac:dyDescent="0.3">
      <c r="B13" s="26" t="s">
        <v>44</v>
      </c>
      <c r="C13" s="101" t="s">
        <v>45</v>
      </c>
      <c r="D13" s="101"/>
      <c r="E13" s="101"/>
      <c r="F13" s="101"/>
      <c r="G13" s="101"/>
      <c r="H13" s="101"/>
      <c r="I13" s="28">
        <v>15.49</v>
      </c>
      <c r="J13" s="39">
        <f>($C$6*$F$6)*2*I13</f>
        <v>309.8</v>
      </c>
      <c r="K13" s="50">
        <f>J13*(VLOOKUP(OpdateretÅrstal,Prislistetillæg!$A$5:$C$61,3,FALSE)/VLOOKUP(Produktionsår,Prislistetillæg!$A$5:$C$61,3,FALSE))</f>
        <v>506.88649674451005</v>
      </c>
    </row>
    <row r="14" spans="1:11" ht="25.5" customHeight="1" x14ac:dyDescent="0.3">
      <c r="B14" s="26" t="s">
        <v>46</v>
      </c>
      <c r="C14" s="101" t="s">
        <v>47</v>
      </c>
      <c r="D14" s="101"/>
      <c r="E14" s="101"/>
      <c r="F14" s="101"/>
      <c r="G14" s="101"/>
      <c r="H14" s="101"/>
      <c r="I14" s="28">
        <v>9.36</v>
      </c>
      <c r="J14" s="39">
        <f>($C$6*$F$6)*2*I14</f>
        <v>187.2</v>
      </c>
      <c r="K14" s="50">
        <f>J14*(VLOOKUP(OpdateretÅrstal,Prislistetillæg!$A$5:$C$61,3,FALSE)/VLOOKUP(Produktionsår,Prislistetillæg!$A$5:$C$61,3,FALSE))</f>
        <v>306.29164683851604</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v>
      </c>
      <c r="K17" s="50">
        <f>J17*(VLOOKUP(OpdateretÅrstal,Prislistetillæg!$A$5:$C$61,3,FALSE)/VLOOKUP(Produktionsår,Prislistetillæg!$A$5:$C$61,3,FALSE))</f>
        <v>37.566539590877831</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4.75" customHeight="1" x14ac:dyDescent="0.3">
      <c r="B19" s="26" t="s">
        <v>54</v>
      </c>
      <c r="C19" s="97" t="s">
        <v>55</v>
      </c>
      <c r="D19" s="97"/>
      <c r="E19" s="97"/>
      <c r="F19" s="97"/>
      <c r="G19" s="97"/>
      <c r="H19" s="97"/>
      <c r="I19" s="28">
        <v>3.91</v>
      </c>
      <c r="J19" s="52">
        <f>2*(2*(C6+F6))*I19</f>
        <v>109.48</v>
      </c>
      <c r="K19" s="50">
        <f>J19*(VLOOKUP(OpdateretÅrstal,Prislistetillæg!$A$5:$C$61,3,FALSE)/VLOOKUP(Produktionsår,Prislistetillæg!$A$5:$C$61,3,FALSE))</f>
        <v>179.12825585406378</v>
      </c>
    </row>
    <row r="20" spans="1:11" x14ac:dyDescent="0.3">
      <c r="B20" s="26" t="s">
        <v>56</v>
      </c>
      <c r="C20" s="97" t="s">
        <v>57</v>
      </c>
      <c r="D20" s="97"/>
      <c r="E20" s="97"/>
      <c r="F20" s="97"/>
      <c r="G20" s="97"/>
      <c r="H20" s="97"/>
      <c r="I20" s="28">
        <v>5.32</v>
      </c>
      <c r="J20" s="51">
        <f>C6*I20</f>
        <v>10.64</v>
      </c>
      <c r="K20" s="50">
        <f>J20*(VLOOKUP(OpdateretÅrstal,Prislistetillæg!$A$5:$C$61,3,FALSE)/VLOOKUP(Produktionsår,Prislistetillæg!$A$5:$C$61,3,FALSE))</f>
        <v>17.4088842006507</v>
      </c>
    </row>
    <row r="21" spans="1:11" x14ac:dyDescent="0.3">
      <c r="B21" s="26" t="s">
        <v>58</v>
      </c>
      <c r="C21" s="97" t="s">
        <v>59</v>
      </c>
      <c r="D21" s="97"/>
      <c r="E21" s="97"/>
      <c r="F21" s="97"/>
      <c r="G21" s="97"/>
      <c r="H21" s="97"/>
      <c r="I21" s="28">
        <v>10.63</v>
      </c>
      <c r="J21" s="31">
        <f>C6*2*I21</f>
        <v>42.52</v>
      </c>
      <c r="K21" s="50">
        <f>J21*(VLOOKUP(OpdateretÅrstal,Prislistetillæg!$A$5:$C$61,3,FALSE)/VLOOKUP(Produktionsår,Prislistetillæg!$A$5:$C$61,3,FALSE))</f>
        <v>69.570089869517659</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(2*I25)*1</f>
        <v>11.52</v>
      </c>
      <c r="K25" s="50">
        <f>J25*(VLOOKUP(OpdateretÅrstal,Prislistetillæg!$A$5:$C$61,3,FALSE)/VLOOKUP(Produktionsår,Prislistetillæg!$A$5:$C$61,3,FALSE))</f>
        <v>18.848716728524067</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1108.3999999999999</v>
      </c>
      <c r="K27" s="48">
        <f>J27*(VLOOKUP(OpdateretÅrstal,Prislistetillæg!$A$5:$C$61,3,FALSE)/VLOOKUP(Produktionsår,Prislistetillæg!$A$5:$C$61,3,FALSE))</f>
        <v>1813.5345157895897</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110.83999999999999</v>
      </c>
      <c r="K29" s="49">
        <f>J29*(VLOOKUP(OpdateretÅrstal,Prislistetillæg!$A$5:$C$61,3,FALSE)/VLOOKUP(Produktionsår,Prislistetillæg!$A$5:$C$61,3,FALSE))</f>
        <v>181.35345157895898</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A1:K33"/>
  <sheetViews>
    <sheetView workbookViewId="0">
      <selection activeCell="J11" sqref="J11"/>
    </sheetView>
  </sheetViews>
  <sheetFormatPr defaultRowHeight="13.5" x14ac:dyDescent="0.3"/>
  <cols>
    <col min="9" max="10" width="10.4609375" bestFit="1" customWidth="1"/>
    <col min="11" max="11" width="12" bestFit="1" customWidth="1"/>
  </cols>
  <sheetData>
    <row r="1" spans="1:11" ht="14" thickBot="1" x14ac:dyDescent="0.35">
      <c r="A1" s="98" t="s">
        <v>28</v>
      </c>
      <c r="B1" s="99"/>
      <c r="C1" s="99"/>
      <c r="D1" s="99"/>
      <c r="E1" s="99"/>
      <c r="F1" s="99"/>
      <c r="G1" s="99"/>
      <c r="H1" s="99"/>
      <c r="I1" s="99"/>
      <c r="J1" s="99"/>
      <c r="K1" s="100"/>
    </row>
    <row r="3" spans="1:11" x14ac:dyDescent="0.3">
      <c r="A3" t="s">
        <v>29</v>
      </c>
      <c r="D3" s="36">
        <v>2014</v>
      </c>
      <c r="E3" t="s">
        <v>30</v>
      </c>
    </row>
    <row r="6" spans="1:11" x14ac:dyDescent="0.3">
      <c r="A6" s="102" t="s">
        <v>31</v>
      </c>
      <c r="B6" s="103"/>
      <c r="C6" s="34">
        <v>2</v>
      </c>
      <c r="D6" s="102" t="s">
        <v>32</v>
      </c>
      <c r="E6" s="103"/>
      <c r="F6" s="34">
        <v>2.4</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162.33599999999998</v>
      </c>
      <c r="K11" s="50">
        <f>J11*(VLOOKUP(OpdateretÅrstal,Prislistetillæg!$A$5:$C$61,3,FALSE)/VLOOKUP(Produktionsår,Prislistetillæg!$A$5:$C$61,3,FALSE))</f>
        <v>265.60983323278492</v>
      </c>
    </row>
    <row r="12" spans="1:11" ht="24.75" customHeight="1" x14ac:dyDescent="0.3">
      <c r="B12" s="26" t="s">
        <v>42</v>
      </c>
      <c r="C12" s="101" t="s">
        <v>43</v>
      </c>
      <c r="D12" s="101"/>
      <c r="E12" s="101"/>
      <c r="F12" s="101"/>
      <c r="G12" s="101"/>
      <c r="H12" s="101"/>
      <c r="I12" s="28">
        <v>7.33</v>
      </c>
      <c r="J12" s="38">
        <f>($C$6*$F$6)*I12</f>
        <v>35.183999999999997</v>
      </c>
      <c r="K12" s="50">
        <f>J12*(VLOOKUP(OpdateretÅrstal,Prislistetillæg!$A$5:$C$61,3,FALSE)/VLOOKUP(Produktionsår,Prislistetillæg!$A$5:$C$61,3,FALSE))</f>
        <v>57.567122341700582</v>
      </c>
    </row>
    <row r="13" spans="1:11" x14ac:dyDescent="0.3">
      <c r="B13" s="26" t="s">
        <v>44</v>
      </c>
      <c r="C13" s="101" t="s">
        <v>45</v>
      </c>
      <c r="D13" s="101"/>
      <c r="E13" s="101"/>
      <c r="F13" s="101"/>
      <c r="G13" s="101"/>
      <c r="H13" s="101"/>
      <c r="I13" s="28">
        <v>18.29</v>
      </c>
      <c r="J13" s="39">
        <f>($C$6*$F$6)*2*I13</f>
        <v>175.58399999999997</v>
      </c>
      <c r="K13" s="50">
        <f>J13*(VLOOKUP(OpdateretÅrstal,Prislistetillæg!$A$5:$C$61,3,FALSE)/VLOOKUP(Produktionsår,Prislistetillæg!$A$5:$C$61,3,FALSE))</f>
        <v>287.28585747058759</v>
      </c>
    </row>
    <row r="14" spans="1:11" ht="26.25" customHeight="1" x14ac:dyDescent="0.3">
      <c r="B14" s="26" t="s">
        <v>46</v>
      </c>
      <c r="C14" s="101" t="s">
        <v>47</v>
      </c>
      <c r="D14" s="101"/>
      <c r="E14" s="101"/>
      <c r="F14" s="101"/>
      <c r="G14" s="101"/>
      <c r="H14" s="101"/>
      <c r="I14" s="28">
        <v>9.36</v>
      </c>
      <c r="J14" s="39">
        <f>($C$6*$F$6)*2*I14</f>
        <v>89.855999999999995</v>
      </c>
      <c r="K14" s="50">
        <f>J14*(VLOOKUP(OpdateretÅrstal,Prislistetillæg!$A$5:$C$61,3,FALSE)/VLOOKUP(Produktionsår,Prislistetillæg!$A$5:$C$61,3,FALSE))</f>
        <v>147.01999048248771</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68.816000000000003</v>
      </c>
      <c r="K19" s="50">
        <f>J19*(VLOOKUP(OpdateretÅrstal,Prislistetillæg!$A$5:$C$61,3,FALSE)/VLOOKUP(Produktionsår,Prislistetillæg!$A$5:$C$61,3,FALSE))</f>
        <v>112.59490367969724</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640.73599999999988</v>
      </c>
      <c r="K27" s="48">
        <f>J27*(VLOOKUP(OpdateretÅrstal,Prislistetillæg!$A$5:$C$61,3,FALSE)/VLOOKUP(Produktionsår,Prislistetillæg!$A$5:$C$61,3,FALSE))</f>
        <v>1048.3551529312147</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133.48666666666665</v>
      </c>
      <c r="K29" s="49">
        <f>J29*(VLOOKUP(OpdateretÅrstal,Prislistetillæg!$A$5:$C$61,3,FALSE)/VLOOKUP(Produktionsår,Prislistetillæg!$A$5:$C$61,3,FALSE))</f>
        <v>218.40732352733642</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9:H29"/>
    <mergeCell ref="C21:H21"/>
    <mergeCell ref="C10:H10"/>
    <mergeCell ref="C11:H11"/>
    <mergeCell ref="C12:H12"/>
    <mergeCell ref="C13:H13"/>
    <mergeCell ref="C14:H14"/>
    <mergeCell ref="C15:H15"/>
    <mergeCell ref="C16:H16"/>
    <mergeCell ref="C22:H22"/>
    <mergeCell ref="C23:H23"/>
    <mergeCell ref="C24:H24"/>
    <mergeCell ref="C25:H25"/>
    <mergeCell ref="C28:H28"/>
    <mergeCell ref="C18:H18"/>
    <mergeCell ref="C19:H19"/>
    <mergeCell ref="C20:H20"/>
    <mergeCell ref="C26:H26"/>
    <mergeCell ref="C27:H27"/>
    <mergeCell ref="A1:K1"/>
    <mergeCell ref="C17:H17"/>
    <mergeCell ref="A6:B6"/>
    <mergeCell ref="D6:E6"/>
    <mergeCell ref="G6:I6"/>
    <mergeCell ref="C9:H9"/>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rgb="FF00B050"/>
  </sheetPr>
  <dimension ref="A1:K4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19" t="s">
        <v>105</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v>
      </c>
      <c r="D6" s="102" t="s">
        <v>32</v>
      </c>
      <c r="E6" s="103"/>
      <c r="F6" s="34">
        <v>6.8</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403.512</v>
      </c>
      <c r="K11" s="50">
        <f>J11*(VLOOKUP(OpdateretÅrstal,Prislistetillæg!$A$5:$C$61,3,FALSE)/VLOOKUP(Produktionsår,Prislistetillæg!$A$5:$C$61,3,FALSE))</f>
        <v>660.21557157640655</v>
      </c>
    </row>
    <row r="12" spans="1:11" ht="25.5" customHeight="1" x14ac:dyDescent="0.3">
      <c r="B12" s="26" t="s">
        <v>42</v>
      </c>
      <c r="C12" s="101" t="s">
        <v>43</v>
      </c>
      <c r="D12" s="101"/>
      <c r="E12" s="101"/>
      <c r="F12" s="101"/>
      <c r="G12" s="101"/>
      <c r="H12" s="101"/>
      <c r="I12" s="28">
        <v>7.33</v>
      </c>
      <c r="J12" s="38">
        <f>($C$6*$F$6)*I12</f>
        <v>99.688000000000002</v>
      </c>
      <c r="K12" s="50">
        <f>J12*(VLOOKUP(OpdateretÅrstal,Prislistetillæg!$A$5:$C$61,3,FALSE)/VLOOKUP(Produktionsår,Prislistetillæg!$A$5:$C$61,3,FALSE))</f>
        <v>163.10684663481834</v>
      </c>
    </row>
    <row r="13" spans="1:11" x14ac:dyDescent="0.3">
      <c r="B13" s="26" t="s">
        <v>44</v>
      </c>
      <c r="C13" s="101" t="s">
        <v>45</v>
      </c>
      <c r="D13" s="101"/>
      <c r="E13" s="101"/>
      <c r="F13" s="101"/>
      <c r="G13" s="101"/>
      <c r="H13" s="101"/>
      <c r="I13" s="28">
        <v>15.49</v>
      </c>
      <c r="J13" s="39">
        <f>($C$6*$F$6)*2*I13</f>
        <v>421.32799999999997</v>
      </c>
      <c r="K13" s="50">
        <f>J13*(VLOOKUP(OpdateretÅrstal,Prislistetillæg!$A$5:$C$61,3,FALSE)/VLOOKUP(Produktionsår,Prislistetillæg!$A$5:$C$61,3,FALSE))</f>
        <v>689.36563557253362</v>
      </c>
    </row>
    <row r="14" spans="1:11" ht="26.25" customHeight="1" x14ac:dyDescent="0.3">
      <c r="B14" s="26" t="s">
        <v>46</v>
      </c>
      <c r="C14" s="101" t="s">
        <v>47</v>
      </c>
      <c r="D14" s="101"/>
      <c r="E14" s="101"/>
      <c r="F14" s="101"/>
      <c r="G14" s="101"/>
      <c r="H14" s="101"/>
      <c r="I14" s="28">
        <v>9.36</v>
      </c>
      <c r="J14" s="39">
        <f>($C$6*$F$6)*2*I14</f>
        <v>254.59199999999998</v>
      </c>
      <c r="K14" s="50">
        <f>J14*(VLOOKUP(OpdateretÅrstal,Prislistetillæg!$A$5:$C$61,3,FALSE)/VLOOKUP(Produktionsår,Prislistetillæg!$A$5:$C$61,3,FALSE))</f>
        <v>416.55663970038182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v>
      </c>
      <c r="K17" s="50">
        <f>J17*(VLOOKUP(OpdateretÅrstal,Prislistetillæg!$A$5:$C$61,3,FALSE)/VLOOKUP(Produktionsår,Prislistetillæg!$A$5:$C$61,3,FALSE))</f>
        <v>37.566539590877831</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4.75" customHeight="1" x14ac:dyDescent="0.3">
      <c r="B19" s="26" t="s">
        <v>54</v>
      </c>
      <c r="C19" s="97" t="s">
        <v>55</v>
      </c>
      <c r="D19" s="97"/>
      <c r="E19" s="97"/>
      <c r="F19" s="97"/>
      <c r="G19" s="97"/>
      <c r="H19" s="97"/>
      <c r="I19" s="28">
        <v>3.91</v>
      </c>
      <c r="J19" s="52">
        <f>2*(2*(C6+F6))*I19</f>
        <v>137.63200000000001</v>
      </c>
      <c r="K19" s="50">
        <f>J19*(VLOOKUP(OpdateretÅrstal,Prislistetillæg!$A$5:$C$61,3,FALSE)/VLOOKUP(Produktionsår,Prislistetillæg!$A$5:$C$61,3,FALSE))</f>
        <v>225.18980735939448</v>
      </c>
    </row>
    <row r="20" spans="1:11" x14ac:dyDescent="0.3">
      <c r="B20" s="26" t="s">
        <v>56</v>
      </c>
      <c r="C20" s="97" t="s">
        <v>57</v>
      </c>
      <c r="D20" s="97"/>
      <c r="E20" s="97"/>
      <c r="F20" s="97"/>
      <c r="G20" s="97"/>
      <c r="H20" s="97"/>
      <c r="I20" s="28">
        <v>8.2200000000000006</v>
      </c>
      <c r="J20" s="51">
        <f>C6*I20</f>
        <v>16.440000000000001</v>
      </c>
      <c r="K20" s="50">
        <f>J20*(VLOOKUP(OpdateretÅrstal,Prislistetillæg!$A$5:$C$61,3,FALSE)/VLOOKUP(Produktionsår,Prislistetillæg!$A$5:$C$61,3,FALSE))</f>
        <v>26.898689497997889</v>
      </c>
    </row>
    <row r="21" spans="1:11" x14ac:dyDescent="0.3">
      <c r="B21" s="26" t="s">
        <v>58</v>
      </c>
      <c r="C21" s="97" t="s">
        <v>59</v>
      </c>
      <c r="D21" s="97"/>
      <c r="E21" s="97"/>
      <c r="F21" s="97"/>
      <c r="G21" s="97"/>
      <c r="H21" s="97"/>
      <c r="I21" s="28">
        <v>16.43</v>
      </c>
      <c r="J21" s="31">
        <f>C6*2*I21</f>
        <v>65.72</v>
      </c>
      <c r="K21" s="50">
        <f>J21*(VLOOKUP(OpdateretÅrstal,Prislistetillæg!$A$5:$C$61,3,FALSE)/VLOOKUP(Produktionsår,Prislistetillæg!$A$5:$C$61,3,FALSE))</f>
        <v>107.52931105890639</v>
      </c>
    </row>
    <row r="22" spans="1:11" x14ac:dyDescent="0.3">
      <c r="B22" s="26" t="s">
        <v>60</v>
      </c>
      <c r="C22" s="110" t="s">
        <v>61</v>
      </c>
      <c r="D22" s="111"/>
      <c r="E22" s="111"/>
      <c r="F22" s="111"/>
      <c r="G22" s="111"/>
      <c r="H22" s="112"/>
      <c r="I22" s="28">
        <v>32.729999999999997</v>
      </c>
      <c r="J22" s="38">
        <f>(2*I22)*3.2</f>
        <v>209.47199999999998</v>
      </c>
      <c r="K22" s="50">
        <f>J22*(VLOOKUP(OpdateretÅrstal,Prislistetillæg!$A$5:$C$61,3,FALSE)/VLOOKUP(Produktionsår,Prislistetillæg!$A$5:$C$61,3,FALSE))</f>
        <v>342.73249918032923</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22.479199999999999</v>
      </c>
      <c r="K24" s="50">
        <f>J24*(VLOOKUP(OpdateretÅrstal,Prislistetillæg!$A$5:$C$61,3,FALSE)/VLOOKUP(Produktionsår,Prislistetillæg!$A$5:$C$61,3,FALSE))</f>
        <v>36.779867455194285</v>
      </c>
    </row>
    <row r="25" spans="1:11" ht="24.75" customHeight="1" x14ac:dyDescent="0.3">
      <c r="B25" s="26" t="s">
        <v>66</v>
      </c>
      <c r="C25" s="110" t="s">
        <v>67</v>
      </c>
      <c r="D25" s="111"/>
      <c r="E25" s="111"/>
      <c r="F25" s="111"/>
      <c r="G25" s="111"/>
      <c r="H25" s="112"/>
      <c r="I25" s="28">
        <v>5.76</v>
      </c>
      <c r="J25" s="38">
        <f>(4*I25)*1</f>
        <v>23.04</v>
      </c>
      <c r="K25" s="50">
        <f>J25*(VLOOKUP(OpdateretÅrstal,Prislistetillæg!$A$5:$C$61,3,FALSE)/VLOOKUP(Produktionsår,Prislistetillæg!$A$5:$C$61,3,FALSE))</f>
        <v>37.697433457048135</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1448.672</v>
      </c>
      <c r="K27" s="48">
        <f>J27*(VLOOKUP(OpdateretÅrstal,Prislistetillæg!$A$5:$C$61,3,FALSE)/VLOOKUP(Produktionsår,Prislistetillæg!$A$5:$C$61,3,FALSE))</f>
        <v>2370.2784861583696</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106.52000000000001</v>
      </c>
      <c r="K29" s="49">
        <f>J29*(VLOOKUP(OpdateretÅrstal,Prislistetillæg!$A$5:$C$61,3,FALSE)/VLOOKUP(Produktionsår,Prislistetillæg!$A$5:$C$61,3,FALSE))</f>
        <v>174.28518280576247</v>
      </c>
    </row>
    <row r="32" spans="1:11" x14ac:dyDescent="0.3">
      <c r="A32" t="s">
        <v>70</v>
      </c>
    </row>
    <row r="33" spans="1:4" x14ac:dyDescent="0.3">
      <c r="A33" t="s">
        <v>71</v>
      </c>
    </row>
    <row r="36" spans="1:4" x14ac:dyDescent="0.3">
      <c r="A36" t="s">
        <v>75</v>
      </c>
      <c r="D36" t="s">
        <v>84</v>
      </c>
    </row>
    <row r="37" spans="1:4" x14ac:dyDescent="0.3">
      <c r="D37" t="s">
        <v>85</v>
      </c>
    </row>
    <row r="38" spans="1:4" x14ac:dyDescent="0.3">
      <c r="D38" t="s">
        <v>86</v>
      </c>
    </row>
    <row r="40" spans="1:4" x14ac:dyDescent="0.3">
      <c r="A40" t="s">
        <v>79</v>
      </c>
      <c r="D40" t="s">
        <v>80</v>
      </c>
    </row>
    <row r="41" spans="1:4" x14ac:dyDescent="0.3">
      <c r="D41" t="s">
        <v>81</v>
      </c>
    </row>
    <row r="43" spans="1:4" x14ac:dyDescent="0.3">
      <c r="D43" t="s">
        <v>87</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rgb="FF00B05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19" t="s">
        <v>106</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5</v>
      </c>
      <c r="D6" s="102" t="s">
        <v>32</v>
      </c>
      <c r="E6" s="103"/>
      <c r="F6" s="34">
        <v>2.4</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356.04</v>
      </c>
      <c r="K11" s="50">
        <f>J11*(VLOOKUP(OpdateretÅrstal,Prislistetillæg!$A$5:$C$61,3,FALSE)/VLOOKUP(Produktionsår,Prislistetillæg!$A$5:$C$61,3,FALSE))</f>
        <v>582.54315139094695</v>
      </c>
    </row>
    <row r="12" spans="1:11" ht="24.75" customHeight="1" x14ac:dyDescent="0.3">
      <c r="B12" s="26" t="s">
        <v>42</v>
      </c>
      <c r="C12" s="101" t="s">
        <v>43</v>
      </c>
      <c r="D12" s="101"/>
      <c r="E12" s="101"/>
      <c r="F12" s="101"/>
      <c r="G12" s="101"/>
      <c r="H12" s="101"/>
      <c r="I12" s="28">
        <v>7.33</v>
      </c>
      <c r="J12" s="38">
        <f>($C$6*$F$6)*I12</f>
        <v>87.960000000000008</v>
      </c>
      <c r="K12" s="50">
        <f>J12*(VLOOKUP(OpdateretÅrstal,Prislistetillæg!$A$5:$C$61,3,FALSE)/VLOOKUP(Produktionsår,Prislistetillæg!$A$5:$C$61,3,FALSE))</f>
        <v>143.91780585425147</v>
      </c>
    </row>
    <row r="13" spans="1:11" x14ac:dyDescent="0.3">
      <c r="B13" s="26" t="s">
        <v>44</v>
      </c>
      <c r="C13" s="101" t="s">
        <v>45</v>
      </c>
      <c r="D13" s="101"/>
      <c r="E13" s="101"/>
      <c r="F13" s="101"/>
      <c r="G13" s="101"/>
      <c r="H13" s="101"/>
      <c r="I13" s="28">
        <v>15.49</v>
      </c>
      <c r="J13" s="39">
        <f>($C$6*$F$6)*2*I13</f>
        <v>371.76</v>
      </c>
      <c r="K13" s="50">
        <f>J13*(VLOOKUP(OpdateretÅrstal,Prislistetillæg!$A$5:$C$61,3,FALSE)/VLOOKUP(Produktionsår,Prislistetillæg!$A$5:$C$61,3,FALSE))</f>
        <v>608.26379609341211</v>
      </c>
    </row>
    <row r="14" spans="1:11" ht="26.25" customHeight="1" x14ac:dyDescent="0.3">
      <c r="B14" s="26" t="s">
        <v>46</v>
      </c>
      <c r="C14" s="101" t="s">
        <v>47</v>
      </c>
      <c r="D14" s="101"/>
      <c r="E14" s="101"/>
      <c r="F14" s="101"/>
      <c r="G14" s="101"/>
      <c r="H14" s="101"/>
      <c r="I14" s="28">
        <v>9.36</v>
      </c>
      <c r="J14" s="39">
        <f>($C$6*$F$6)*2*I14</f>
        <v>224.64</v>
      </c>
      <c r="K14" s="50">
        <f>J14*(VLOOKUP(OpdateretÅrstal,Prislistetillæg!$A$5:$C$61,3,FALSE)/VLOOKUP(Produktionsår,Prislistetillæg!$A$5:$C$61,3,FALSE))</f>
        <v>367.5499762062193</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115.736</v>
      </c>
      <c r="K19" s="50">
        <f>J19*(VLOOKUP(OpdateretÅrstal,Prislistetillæg!$A$5:$C$61,3,FALSE)/VLOOKUP(Produktionsår,Prislistetillæg!$A$5:$C$61,3,FALSE))</f>
        <v>189.36415618858172</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1265.0960000000002</v>
      </c>
      <c r="K27" s="48">
        <f>J27*(VLOOKUP(OpdateretÅrstal,Prislistetillæg!$A$5:$C$61,3,FALSE)/VLOOKUP(Produktionsår,Prislistetillæg!$A$5:$C$61,3,FALSE))</f>
        <v>2069.9163314573689</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105.42466666666668</v>
      </c>
      <c r="K29" s="49">
        <f>J29*(VLOOKUP(OpdateretÅrstal,Prislistetillæg!$A$5:$C$61,3,FALSE)/VLOOKUP(Produktionsår,Prislistetillæg!$A$5:$C$61,3,FALSE))</f>
        <v>172.49302762144737</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tabColor rgb="FF00B05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19" t="s">
        <v>107</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5</v>
      </c>
      <c r="D6" s="102" t="s">
        <v>32</v>
      </c>
      <c r="E6" s="103"/>
      <c r="F6" s="34">
        <v>2.8</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415.38</v>
      </c>
      <c r="K11" s="50">
        <f>J11*(VLOOKUP(OpdateretÅrstal,Prislistetillæg!$A$5:$C$61,3,FALSE)/VLOOKUP(Produktionsår,Prislistetillæg!$A$5:$C$61,3,FALSE))</f>
        <v>679.63367662277142</v>
      </c>
    </row>
    <row r="12" spans="1:11" ht="24.75" customHeight="1" x14ac:dyDescent="0.3">
      <c r="B12" s="26" t="s">
        <v>42</v>
      </c>
      <c r="C12" s="101" t="s">
        <v>43</v>
      </c>
      <c r="D12" s="101"/>
      <c r="E12" s="101"/>
      <c r="F12" s="101"/>
      <c r="G12" s="101"/>
      <c r="H12" s="101"/>
      <c r="I12" s="28">
        <v>7.33</v>
      </c>
      <c r="J12" s="38">
        <f>($C$6*$F$6)*I12</f>
        <v>102.62</v>
      </c>
      <c r="K12" s="50">
        <f>J12*(VLOOKUP(OpdateretÅrstal,Prislistetillæg!$A$5:$C$61,3,FALSE)/VLOOKUP(Produktionsår,Prislistetillæg!$A$5:$C$61,3,FALSE))</f>
        <v>167.90410682996006</v>
      </c>
    </row>
    <row r="13" spans="1:11" x14ac:dyDescent="0.3">
      <c r="B13" s="26" t="s">
        <v>44</v>
      </c>
      <c r="C13" s="101" t="s">
        <v>45</v>
      </c>
      <c r="D13" s="101"/>
      <c r="E13" s="101"/>
      <c r="F13" s="101"/>
      <c r="G13" s="101"/>
      <c r="H13" s="101"/>
      <c r="I13" s="28">
        <v>15.49</v>
      </c>
      <c r="J13" s="39">
        <f>($C$6*$F$6)*2*I13</f>
        <v>433.72</v>
      </c>
      <c r="K13" s="50">
        <f>J13*(VLOOKUP(OpdateretÅrstal,Prislistetillæg!$A$5:$C$61,3,FALSE)/VLOOKUP(Produktionsår,Prislistetillæg!$A$5:$C$61,3,FALSE))</f>
        <v>709.64109544231417</v>
      </c>
    </row>
    <row r="14" spans="1:11" ht="26.25" customHeight="1" x14ac:dyDescent="0.3">
      <c r="B14" s="26" t="s">
        <v>46</v>
      </c>
      <c r="C14" s="101" t="s">
        <v>47</v>
      </c>
      <c r="D14" s="101"/>
      <c r="E14" s="101"/>
      <c r="F14" s="101"/>
      <c r="G14" s="101"/>
      <c r="H14" s="101"/>
      <c r="I14" s="28">
        <v>9.36</v>
      </c>
      <c r="J14" s="39">
        <f>($C$6*$F$6)*2*I14</f>
        <v>262.08</v>
      </c>
      <c r="K14" s="50">
        <f>J14*(VLOOKUP(OpdateretÅrstal,Prislistetillæg!$A$5:$C$61,3,FALSE)/VLOOKUP(Produktionsår,Prislistetillæg!$A$5:$C$61,3,FALSE))</f>
        <v>428.8083055739225</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28.700000000000003</v>
      </c>
      <c r="K17" s="50">
        <f>J17*(VLOOKUP(OpdateretÅrstal,Prislistetillæg!$A$5:$C$61,3,FALSE)/VLOOKUP(Produktionsår,Prislistetillæg!$A$5:$C$61,3,FALSE))</f>
        <v>46.958174488597287</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121.992</v>
      </c>
      <c r="K19" s="50">
        <f>J19*(VLOOKUP(OpdateretÅrstal,Prislistetillæg!$A$5:$C$61,3,FALSE)/VLOOKUP(Produktionsår,Prislistetillæg!$A$5:$C$61,3,FALSE))</f>
        <v>199.60005652309965</v>
      </c>
    </row>
    <row r="20" spans="1:11" ht="12.75" customHeight="1" x14ac:dyDescent="0.3">
      <c r="B20" s="26" t="s">
        <v>56</v>
      </c>
      <c r="C20" s="97" t="s">
        <v>57</v>
      </c>
      <c r="D20" s="97"/>
      <c r="E20" s="97"/>
      <c r="F20" s="97"/>
      <c r="G20" s="97"/>
      <c r="H20" s="97"/>
      <c r="I20" s="28">
        <v>1.93</v>
      </c>
      <c r="J20" s="51">
        <f>C6*I20</f>
        <v>9.65</v>
      </c>
      <c r="K20" s="50">
        <f>J20*(VLOOKUP(OpdateretÅrstal,Prislistetillæg!$A$5:$C$61,3,FALSE)/VLOOKUP(Produktionsår,Prislistetillæg!$A$5:$C$61,3,FALSE))</f>
        <v>15.789072606793164</v>
      </c>
    </row>
    <row r="21" spans="1:11" ht="12.75" customHeight="1" x14ac:dyDescent="0.3">
      <c r="B21" s="26" t="s">
        <v>58</v>
      </c>
      <c r="C21" s="97" t="s">
        <v>59</v>
      </c>
      <c r="D21" s="97"/>
      <c r="E21" s="97"/>
      <c r="F21" s="97"/>
      <c r="G21" s="97"/>
      <c r="H21" s="97"/>
      <c r="I21" s="28">
        <v>3.87</v>
      </c>
      <c r="J21" s="31">
        <f>C6*2*I21</f>
        <v>38.700000000000003</v>
      </c>
      <c r="K21" s="50">
        <f>J21*(VLOOKUP(OpdateretÅrstal,Prislistetillæg!$A$5:$C$61,3,FALSE)/VLOOKUP(Produktionsår,Prislistetillæg!$A$5:$C$61,3,FALSE))</f>
        <v>63.319907759885538</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1473.452</v>
      </c>
      <c r="K27" s="48">
        <f>J27*(VLOOKUP(OpdateretÅrstal,Prislistetillæg!$A$5:$C$61,3,FALSE)/VLOOKUP(Produktionsår,Prislistetillæg!$A$5:$C$61,3,FALSE))</f>
        <v>2410.8228612046219</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105.24657142857143</v>
      </c>
      <c r="K29" s="49">
        <f>J29*(VLOOKUP(OpdateretÅrstal,Prislistetillæg!$A$5:$C$61,3,FALSE)/VLOOKUP(Produktionsår,Prislistetillæg!$A$5:$C$61,3,FALSE))</f>
        <v>172.20163294318726</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3">
    <tabColor rgb="FF00B050"/>
  </sheetPr>
  <dimension ref="A1:K3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19" t="s">
        <v>108</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5</v>
      </c>
      <c r="D6" s="102" t="s">
        <v>32</v>
      </c>
      <c r="E6" s="103"/>
      <c r="F6" s="34">
        <v>3.6</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534.06000000000006</v>
      </c>
      <c r="K11" s="50">
        <f>J11*(VLOOKUP(OpdateretÅrstal,Prislistetillæg!$A$5:$C$61,3,FALSE)/VLOOKUP(Produktionsår,Prislistetillæg!$A$5:$C$61,3,FALSE))</f>
        <v>873.81472708642048</v>
      </c>
    </row>
    <row r="12" spans="1:11" ht="26.25" customHeight="1" x14ac:dyDescent="0.3">
      <c r="B12" s="26" t="s">
        <v>42</v>
      </c>
      <c r="C12" s="101" t="s">
        <v>43</v>
      </c>
      <c r="D12" s="101"/>
      <c r="E12" s="101"/>
      <c r="F12" s="101"/>
      <c r="G12" s="101"/>
      <c r="H12" s="101"/>
      <c r="I12" s="28">
        <v>7.33</v>
      </c>
      <c r="J12" s="38">
        <f>($C$6*$F$6)*I12</f>
        <v>131.94</v>
      </c>
      <c r="K12" s="50">
        <f>J12*(VLOOKUP(OpdateretÅrstal,Prislistetillæg!$A$5:$C$61,3,FALSE)/VLOOKUP(Produktionsår,Prislistetillæg!$A$5:$C$61,3,FALSE))</f>
        <v>215.8767087813772</v>
      </c>
    </row>
    <row r="13" spans="1:11" x14ac:dyDescent="0.3">
      <c r="B13" s="26" t="s">
        <v>44</v>
      </c>
      <c r="C13" s="101" t="s">
        <v>45</v>
      </c>
      <c r="D13" s="101"/>
      <c r="E13" s="101"/>
      <c r="F13" s="101"/>
      <c r="G13" s="101"/>
      <c r="H13" s="101"/>
      <c r="I13" s="28">
        <v>15.49</v>
      </c>
      <c r="J13" s="39">
        <f>($C$6*$F$6)*2*I13</f>
        <v>557.64</v>
      </c>
      <c r="K13" s="50">
        <f>J13*(VLOOKUP(OpdateretÅrstal,Prislistetillæg!$A$5:$C$61,3,FALSE)/VLOOKUP(Produktionsår,Prislistetillæg!$A$5:$C$61,3,FALSE))</f>
        <v>912.39569414011805</v>
      </c>
    </row>
    <row r="14" spans="1:11" ht="25.5" customHeight="1" x14ac:dyDescent="0.3">
      <c r="B14" s="26" t="s">
        <v>46</v>
      </c>
      <c r="C14" s="101" t="s">
        <v>47</v>
      </c>
      <c r="D14" s="101"/>
      <c r="E14" s="101"/>
      <c r="F14" s="101"/>
      <c r="G14" s="101"/>
      <c r="H14" s="101"/>
      <c r="I14" s="28">
        <v>9.36</v>
      </c>
      <c r="J14" s="39">
        <f>($C$6*$F$6)*2*I14</f>
        <v>336.96</v>
      </c>
      <c r="K14" s="50">
        <f>J14*(VLOOKUP(OpdateretÅrstal,Prislistetillæg!$A$5:$C$61,3,FALSE)/VLOOKUP(Produktionsår,Prislistetillæg!$A$5:$C$61,3,FALSE))</f>
        <v>551.32496430932895</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2*C6*I17</f>
        <v>28.700000000000003</v>
      </c>
      <c r="K17" s="50">
        <f>J17*(VLOOKUP(OpdateretÅrstal,Prislistetillæg!$A$5:$C$61,3,FALSE)/VLOOKUP(Produktionsår,Prislistetillæg!$A$5:$C$61,3,FALSE))</f>
        <v>46.958174488597287</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5.5" customHeight="1" x14ac:dyDescent="0.3">
      <c r="B19" s="26" t="s">
        <v>54</v>
      </c>
      <c r="C19" s="97" t="s">
        <v>55</v>
      </c>
      <c r="D19" s="97"/>
      <c r="E19" s="97"/>
      <c r="F19" s="97"/>
      <c r="G19" s="97"/>
      <c r="H19" s="97"/>
      <c r="I19" s="28">
        <v>3.91</v>
      </c>
      <c r="J19" s="52">
        <f>2*(2*(C6+F6))*I19</f>
        <v>134.50399999999999</v>
      </c>
      <c r="K19" s="50">
        <f>J19*(VLOOKUP(OpdateretÅrstal,Prislistetillæg!$A$5:$C$61,3,FALSE)/VLOOKUP(Produktionsår,Prislistetillæg!$A$5:$C$61,3,FALSE))</f>
        <v>220.0718571921355</v>
      </c>
    </row>
    <row r="20" spans="1:11" x14ac:dyDescent="0.3">
      <c r="B20" s="26" t="s">
        <v>56</v>
      </c>
      <c r="C20" s="97" t="s">
        <v>57</v>
      </c>
      <c r="D20" s="97"/>
      <c r="E20" s="97"/>
      <c r="F20" s="97"/>
      <c r="G20" s="97"/>
      <c r="H20" s="97"/>
      <c r="I20" s="28">
        <v>2.91</v>
      </c>
      <c r="J20" s="51">
        <f>C6*I20</f>
        <v>14.55</v>
      </c>
      <c r="K20" s="50">
        <f>J20*(VLOOKUP(OpdateretÅrstal,Prislistetillæg!$A$5:$C$61,3,FALSE)/VLOOKUP(Produktionsår,Prislistetillæg!$A$5:$C$61,3,FALSE))</f>
        <v>23.80632190972441</v>
      </c>
    </row>
    <row r="21" spans="1:11" x14ac:dyDescent="0.3">
      <c r="B21" s="26" t="s">
        <v>58</v>
      </c>
      <c r="C21" s="97" t="s">
        <v>59</v>
      </c>
      <c r="D21" s="97"/>
      <c r="E21" s="97"/>
      <c r="F21" s="97"/>
      <c r="G21" s="97"/>
      <c r="H21" s="97"/>
      <c r="I21" s="28">
        <v>5.79</v>
      </c>
      <c r="J21" s="31">
        <f>C6*2*I21</f>
        <v>57.9</v>
      </c>
      <c r="K21" s="50">
        <f>J21*(VLOOKUP(OpdateretÅrstal,Prislistetillæg!$A$5:$C$61,3,FALSE)/VLOOKUP(Produktionsår,Prislistetillæg!$A$5:$C$61,3,FALSE))</f>
        <v>94.734435640758974</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1832.7639999999999</v>
      </c>
      <c r="K27" s="48">
        <f>J27*(VLOOKUP(OpdateretÅrstal,Prislistetillæg!$A$5:$C$61,3,FALSE)/VLOOKUP(Produktionsår,Prislistetillæg!$A$5:$C$61,3,FALSE))</f>
        <v>2998.7195717219342</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101.82022222222221</v>
      </c>
      <c r="K29" s="49">
        <f>J29*(VLOOKUP(OpdateretÅrstal,Prislistetillæg!$A$5:$C$61,3,FALSE)/VLOOKUP(Produktionsår,Prislistetillæg!$A$5:$C$61,3,FALSE))</f>
        <v>166.59553176232967</v>
      </c>
    </row>
    <row r="32" spans="1:1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4">
    <tabColor rgb="FF00B050"/>
  </sheetPr>
  <dimension ref="A1:K44"/>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19" t="s">
        <v>109</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5</v>
      </c>
      <c r="D6" s="102" t="s">
        <v>32</v>
      </c>
      <c r="E6" s="103"/>
      <c r="F6" s="34">
        <v>5</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741.75</v>
      </c>
      <c r="K11" s="50">
        <f>J11*(VLOOKUP(OpdateretÅrstal,Prislistetillæg!$A$5:$C$61,3,FALSE)/VLOOKUP(Produktionsår,Prislistetillæg!$A$5:$C$61,3,FALSE))</f>
        <v>1213.6315653978061</v>
      </c>
    </row>
    <row r="12" spans="1:11" ht="26.25" customHeight="1" x14ac:dyDescent="0.3">
      <c r="B12" s="26" t="s">
        <v>42</v>
      </c>
      <c r="C12" s="101" t="s">
        <v>43</v>
      </c>
      <c r="D12" s="101"/>
      <c r="E12" s="101"/>
      <c r="F12" s="101"/>
      <c r="G12" s="101"/>
      <c r="H12" s="101"/>
      <c r="I12" s="28">
        <v>7.33</v>
      </c>
      <c r="J12" s="38">
        <f>($C$6*$F$6)*I12</f>
        <v>183.25</v>
      </c>
      <c r="K12" s="50">
        <f>J12*(VLOOKUP(OpdateretÅrstal,Prislistetillæg!$A$5:$C$61,3,FALSE)/VLOOKUP(Produktionsår,Prislistetillæg!$A$5:$C$61,3,FALSE))</f>
        <v>299.82876219635722</v>
      </c>
    </row>
    <row r="13" spans="1:11" x14ac:dyDescent="0.3">
      <c r="B13" s="26" t="s">
        <v>44</v>
      </c>
      <c r="C13" s="101" t="s">
        <v>45</v>
      </c>
      <c r="D13" s="101"/>
      <c r="E13" s="101"/>
      <c r="F13" s="101"/>
      <c r="G13" s="101"/>
      <c r="H13" s="101"/>
      <c r="I13" s="28">
        <v>15.49</v>
      </c>
      <c r="J13" s="39">
        <f>($C$6*$F$6)*2*I13</f>
        <v>774.5</v>
      </c>
      <c r="K13" s="50">
        <f>J13*(VLOOKUP(OpdateretÅrstal,Prislistetillæg!$A$5:$C$61,3,FALSE)/VLOOKUP(Produktionsår,Prislistetillæg!$A$5:$C$61,3,FALSE))</f>
        <v>1267.2162418612752</v>
      </c>
    </row>
    <row r="14" spans="1:11" ht="26.25" customHeight="1" x14ac:dyDescent="0.3">
      <c r="B14" s="26" t="s">
        <v>46</v>
      </c>
      <c r="C14" s="101" t="s">
        <v>47</v>
      </c>
      <c r="D14" s="101"/>
      <c r="E14" s="101"/>
      <c r="F14" s="101"/>
      <c r="G14" s="101"/>
      <c r="H14" s="101"/>
      <c r="I14" s="28">
        <v>9.36</v>
      </c>
      <c r="J14" s="39">
        <f>($C$6*$F$6)*2*I14</f>
        <v>468</v>
      </c>
      <c r="K14" s="50">
        <f>J14*(VLOOKUP(OpdateretÅrstal,Prislistetillæg!$A$5:$C$61,3,FALSE)/VLOOKUP(Produktionsår,Prislistetillæg!$A$5:$C$61,3,FALSE))</f>
        <v>765.72911709629022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57.400000000000006</v>
      </c>
      <c r="K17" s="50">
        <f>J17*(VLOOKUP(OpdateretÅrstal,Prislistetillæg!$A$5:$C$61,3,FALSE)/VLOOKUP(Produktionsår,Prislistetillæg!$A$5:$C$61,3,FALSE))</f>
        <v>93.916348977194573</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5.5" customHeight="1" x14ac:dyDescent="0.3">
      <c r="B19" s="26" t="s">
        <v>54</v>
      </c>
      <c r="C19" s="97" t="s">
        <v>55</v>
      </c>
      <c r="D19" s="97"/>
      <c r="E19" s="97"/>
      <c r="F19" s="97"/>
      <c r="G19" s="97"/>
      <c r="H19" s="97"/>
      <c r="I19" s="28">
        <v>3.91</v>
      </c>
      <c r="J19" s="52">
        <f>2*(2*(C6+F6))*I19</f>
        <v>156.4</v>
      </c>
      <c r="K19" s="50">
        <f>J19*(VLOOKUP(OpdateretÅrstal,Prislistetillæg!$A$5:$C$61,3,FALSE)/VLOOKUP(Produktionsår,Prislistetillæg!$A$5:$C$61,3,FALSE))</f>
        <v>255.89750836294829</v>
      </c>
    </row>
    <row r="20" spans="1:11" x14ac:dyDescent="0.3">
      <c r="B20" s="26" t="s">
        <v>56</v>
      </c>
      <c r="C20" s="97" t="s">
        <v>57</v>
      </c>
      <c r="D20" s="97"/>
      <c r="E20" s="97"/>
      <c r="F20" s="97"/>
      <c r="G20" s="97"/>
      <c r="H20" s="97"/>
      <c r="I20" s="28">
        <v>5.32</v>
      </c>
      <c r="J20" s="51">
        <f>C6*I20</f>
        <v>26.6</v>
      </c>
      <c r="K20" s="50">
        <f>J20*(VLOOKUP(OpdateretÅrstal,Prislistetillæg!$A$5:$C$61,3,FALSE)/VLOOKUP(Produktionsår,Prislistetillæg!$A$5:$C$61,3,FALSE))</f>
        <v>43.522210501626752</v>
      </c>
    </row>
    <row r="21" spans="1:11" x14ac:dyDescent="0.3">
      <c r="B21" s="26" t="s">
        <v>58</v>
      </c>
      <c r="C21" s="97" t="s">
        <v>59</v>
      </c>
      <c r="D21" s="97"/>
      <c r="E21" s="97"/>
      <c r="F21" s="97"/>
      <c r="G21" s="97"/>
      <c r="H21" s="97"/>
      <c r="I21" s="28">
        <v>10.63</v>
      </c>
      <c r="J21" s="31">
        <f>C6*2*I21</f>
        <v>106.30000000000001</v>
      </c>
      <c r="K21" s="50">
        <f>J21*(VLOOKUP(OpdateretÅrstal,Prislistetillæg!$A$5:$C$61,3,FALSE)/VLOOKUP(Produktionsår,Prislistetillæg!$A$5:$C$61,3,FALSE))</f>
        <v>173.92522467379413</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(2*I25)*2</f>
        <v>23.04</v>
      </c>
      <c r="K25" s="50">
        <f>J25*(VLOOKUP(OpdateretÅrstal,Prislistetillæg!$A$5:$C$61,3,FALSE)/VLOOKUP(Produktionsår,Prislistetillæg!$A$5:$C$61,3,FALSE))</f>
        <v>37.697433457048135</v>
      </c>
    </row>
    <row r="26" spans="1:11" ht="12.75" customHeight="1" x14ac:dyDescent="0.3">
      <c r="B26" s="26"/>
      <c r="C26" s="110"/>
      <c r="D26" s="111"/>
      <c r="E26" s="111"/>
      <c r="F26" s="111"/>
      <c r="G26" s="111"/>
      <c r="H26" s="112"/>
      <c r="I26" s="27"/>
      <c r="J26" s="40"/>
      <c r="K26" s="47"/>
    </row>
    <row r="27" spans="1:11" ht="12.75" customHeight="1" x14ac:dyDescent="0.3">
      <c r="B27" s="26"/>
      <c r="C27" s="110" t="s">
        <v>68</v>
      </c>
      <c r="D27" s="111"/>
      <c r="E27" s="111"/>
      <c r="F27" s="111"/>
      <c r="G27" s="111"/>
      <c r="H27" s="112"/>
      <c r="I27" s="28"/>
      <c r="J27" s="38">
        <f>SUM(J11:J19)</f>
        <v>2490.2600000000002</v>
      </c>
      <c r="K27" s="48">
        <f>J27*(VLOOKUP(OpdateretÅrstal,Prislistetillæg!$A$5:$C$61,3,FALSE)/VLOOKUP(Produktionsår,Prislistetillæg!$A$5:$C$61,3,FALSE))</f>
        <v>4074.4969896158286</v>
      </c>
    </row>
    <row r="28" spans="1:11" ht="12.75" customHeight="1" x14ac:dyDescent="0.3">
      <c r="B28" s="26"/>
      <c r="C28" s="113"/>
      <c r="D28" s="114"/>
      <c r="E28" s="114"/>
      <c r="F28" s="114"/>
      <c r="G28" s="114"/>
      <c r="H28" s="115"/>
      <c r="I28" s="28"/>
      <c r="K28" s="47"/>
    </row>
    <row r="29" spans="1:11" ht="13.5" customHeight="1" thickBot="1" x14ac:dyDescent="0.35">
      <c r="B29" s="32"/>
      <c r="C29" s="116" t="s">
        <v>69</v>
      </c>
      <c r="D29" s="117"/>
      <c r="E29" s="117"/>
      <c r="F29" s="117"/>
      <c r="G29" s="117"/>
      <c r="H29" s="118"/>
      <c r="I29" s="33"/>
      <c r="J29" s="41">
        <f>J27/(C6*F6)</f>
        <v>99.610400000000013</v>
      </c>
      <c r="K29" s="49">
        <f>J29*(VLOOKUP(OpdateretÅrstal,Prislistetillæg!$A$5:$C$61,3,FALSE)/VLOOKUP(Produktionsår,Prislistetillæg!$A$5:$C$61,3,FALSE))</f>
        <v>162.97987958463315</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row r="44" spans="1:4" x14ac:dyDescent="0.3">
      <c r="D44" t="s">
        <v>92</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5">
    <tabColor rgb="FF00B050"/>
  </sheetPr>
  <dimension ref="A1:K44"/>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19" t="s">
        <v>110</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5</v>
      </c>
      <c r="D6" s="102" t="s">
        <v>32</v>
      </c>
      <c r="E6" s="103"/>
      <c r="F6" s="34">
        <v>6.8</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1008.7800000000001</v>
      </c>
      <c r="K11" s="50">
        <f>J11*(VLOOKUP(OpdateretÅrstal,Prislistetillæg!$A$5:$C$61,3,FALSE)/VLOOKUP(Produktionsår,Prislistetillæg!$A$5:$C$61,3,FALSE))</f>
        <v>1650.5389289410164</v>
      </c>
    </row>
    <row r="12" spans="1:11" ht="25.5" customHeight="1" x14ac:dyDescent="0.3">
      <c r="B12" s="26" t="s">
        <v>42</v>
      </c>
      <c r="C12" s="101" t="s">
        <v>43</v>
      </c>
      <c r="D12" s="101"/>
      <c r="E12" s="101"/>
      <c r="F12" s="101"/>
      <c r="G12" s="101"/>
      <c r="H12" s="101"/>
      <c r="I12" s="28">
        <v>7.33</v>
      </c>
      <c r="J12" s="38">
        <f>($C$6*$F$6)*I12</f>
        <v>249.22</v>
      </c>
      <c r="K12" s="50">
        <f>J12*(VLOOKUP(OpdateretÅrstal,Prislistetillæg!$A$5:$C$61,3,FALSE)/VLOOKUP(Produktionsår,Prislistetillæg!$A$5:$C$61,3,FALSE))</f>
        <v>407.76711658704585</v>
      </c>
    </row>
    <row r="13" spans="1:11" x14ac:dyDescent="0.3">
      <c r="B13" s="26" t="s">
        <v>44</v>
      </c>
      <c r="C13" s="101" t="s">
        <v>45</v>
      </c>
      <c r="D13" s="101"/>
      <c r="E13" s="101"/>
      <c r="F13" s="101"/>
      <c r="G13" s="101"/>
      <c r="H13" s="101"/>
      <c r="I13" s="28">
        <v>15.49</v>
      </c>
      <c r="J13" s="39">
        <f>($C$6*$F$6)*2*I13</f>
        <v>1053.32</v>
      </c>
      <c r="K13" s="50">
        <f>J13*(VLOOKUP(OpdateretÅrstal,Prislistetillæg!$A$5:$C$61,3,FALSE)/VLOOKUP(Produktionsår,Prislistetillæg!$A$5:$C$61,3,FALSE))</f>
        <v>1723.4140889313342</v>
      </c>
    </row>
    <row r="14" spans="1:11" ht="26.25" customHeight="1" x14ac:dyDescent="0.3">
      <c r="B14" s="26" t="s">
        <v>46</v>
      </c>
      <c r="C14" s="101" t="s">
        <v>47</v>
      </c>
      <c r="D14" s="101"/>
      <c r="E14" s="101"/>
      <c r="F14" s="101"/>
      <c r="G14" s="101"/>
      <c r="H14" s="101"/>
      <c r="I14" s="28">
        <v>9.36</v>
      </c>
      <c r="J14" s="39">
        <f>($C$6*$F$6)*2*I14</f>
        <v>636.48</v>
      </c>
      <c r="K14" s="50">
        <f>J14*(VLOOKUP(OpdateretÅrstal,Prislistetillæg!$A$5:$C$61,3,FALSE)/VLOOKUP(Produktionsår,Prislistetillæg!$A$5:$C$61,3,FALSE))</f>
        <v>1041.3915992509546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57.400000000000006</v>
      </c>
      <c r="K17" s="50">
        <f>J17*(VLOOKUP(OpdateretÅrstal,Prislistetillæg!$A$5:$C$61,3,FALSE)/VLOOKUP(Produktionsår,Prislistetillæg!$A$5:$C$61,3,FALSE))</f>
        <v>93.916348977194573</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184.55200000000002</v>
      </c>
      <c r="K19" s="50">
        <f>J19*(VLOOKUP(OpdateretÅrstal,Prislistetillæg!$A$5:$C$61,3,FALSE)/VLOOKUP(Produktionsår,Prislistetillæg!$A$5:$C$61,3,FALSE))</f>
        <v>301.95905986827898</v>
      </c>
    </row>
    <row r="20" spans="1:11" x14ac:dyDescent="0.3">
      <c r="B20" s="26" t="s">
        <v>56</v>
      </c>
      <c r="C20" s="97" t="s">
        <v>57</v>
      </c>
      <c r="D20" s="97"/>
      <c r="E20" s="97"/>
      <c r="F20" s="97"/>
      <c r="G20" s="97"/>
      <c r="H20" s="97"/>
      <c r="I20" s="28">
        <v>8.2200000000000006</v>
      </c>
      <c r="J20" s="51">
        <f>C6*I20</f>
        <v>41.1</v>
      </c>
      <c r="K20" s="50">
        <f>J20*(VLOOKUP(OpdateretÅrstal,Prislistetillæg!$A$5:$C$61,3,FALSE)/VLOOKUP(Produktionsår,Prislistetillæg!$A$5:$C$61,3,FALSE))</f>
        <v>67.246723744994725</v>
      </c>
    </row>
    <row r="21" spans="1:11" x14ac:dyDescent="0.3">
      <c r="B21" s="26" t="s">
        <v>58</v>
      </c>
      <c r="C21" s="97" t="s">
        <v>59</v>
      </c>
      <c r="D21" s="97"/>
      <c r="E21" s="97"/>
      <c r="F21" s="97"/>
      <c r="G21" s="97"/>
      <c r="H21" s="97"/>
      <c r="I21" s="28">
        <v>16.43</v>
      </c>
      <c r="J21" s="31">
        <f>C6*2*I21</f>
        <v>164.3</v>
      </c>
      <c r="K21" s="50">
        <f>J21*(VLOOKUP(OpdateretÅrstal,Prislistetillæg!$A$5:$C$61,3,FALSE)/VLOOKUP(Produktionsår,Prislistetillæg!$A$5:$C$61,3,FALSE))</f>
        <v>268.82327764726602</v>
      </c>
    </row>
    <row r="22" spans="1:11" x14ac:dyDescent="0.3">
      <c r="B22" s="26" t="s">
        <v>60</v>
      </c>
      <c r="C22" s="110" t="s">
        <v>61</v>
      </c>
      <c r="D22" s="111"/>
      <c r="E22" s="111"/>
      <c r="F22" s="111"/>
      <c r="G22" s="111"/>
      <c r="H22" s="112"/>
      <c r="I22" s="28">
        <v>32.729999999999997</v>
      </c>
      <c r="J22" s="38">
        <f>(2*I22)*13.2</f>
        <v>864.07199999999989</v>
      </c>
      <c r="K22" s="50">
        <f>J22*(VLOOKUP(OpdateretÅrstal,Prislistetillæg!$A$5:$C$61,3,FALSE)/VLOOKUP(Produktionsår,Prislistetillæg!$A$5:$C$61,3,FALSE))</f>
        <v>1413.771559118858</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61.371199999999995</v>
      </c>
      <c r="K24" s="50">
        <f>J24*(VLOOKUP(OpdateretÅrstal,Prislistetillæg!$A$5:$C$61,3,FALSE)/VLOOKUP(Produktionsår,Prislistetillæg!$A$5:$C$61,3,FALSE))</f>
        <v>100.41392049388855</v>
      </c>
    </row>
    <row r="25" spans="1:11" ht="24.75" customHeight="1" x14ac:dyDescent="0.3">
      <c r="B25" s="26" t="s">
        <v>66</v>
      </c>
      <c r="C25" s="110" t="s">
        <v>67</v>
      </c>
      <c r="D25" s="111"/>
      <c r="E25" s="111"/>
      <c r="F25" s="111"/>
      <c r="G25" s="111"/>
      <c r="H25" s="112"/>
      <c r="I25" s="28">
        <v>5.76</v>
      </c>
      <c r="J25" s="38">
        <f>(2*I25)*2</f>
        <v>23.04</v>
      </c>
      <c r="K25" s="50">
        <f>J25*(VLOOKUP(OpdateretÅrstal,Prislistetillæg!$A$5:$C$61,3,FALSE)/VLOOKUP(Produktionsår,Prislistetillæg!$A$5:$C$61,3,FALSE))</f>
        <v>37.697433457048135</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3298.712</v>
      </c>
      <c r="K27" s="48">
        <f>J27*(VLOOKUP(OpdateretÅrstal,Prislistetillæg!$A$5:$C$61,3,FALSE)/VLOOKUP(Produktionsår,Prislistetillæg!$A$5:$C$61,3,FALSE))</f>
        <v>5397.2645882797815</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97.020941176470586</v>
      </c>
      <c r="K29" s="49">
        <f>J29*(VLOOKUP(OpdateretÅrstal,Prislistetillæg!$A$5:$C$61,3,FALSE)/VLOOKUP(Produktionsår,Prislistetillæg!$A$5:$C$61,3,FALSE))</f>
        <v>158.74307612587592</v>
      </c>
    </row>
    <row r="32" spans="1:11" x14ac:dyDescent="0.3">
      <c r="A32" t="s">
        <v>70</v>
      </c>
    </row>
    <row r="33" spans="1:4" x14ac:dyDescent="0.3">
      <c r="A33" t="s">
        <v>71</v>
      </c>
    </row>
    <row r="36" spans="1:4" x14ac:dyDescent="0.3">
      <c r="A36" t="s">
        <v>75</v>
      </c>
      <c r="D36" t="s">
        <v>84</v>
      </c>
    </row>
    <row r="37" spans="1:4" x14ac:dyDescent="0.3">
      <c r="D37" t="s">
        <v>85</v>
      </c>
    </row>
    <row r="38" spans="1:4" x14ac:dyDescent="0.3">
      <c r="D38" t="s">
        <v>86</v>
      </c>
    </row>
    <row r="40" spans="1:4" x14ac:dyDescent="0.3">
      <c r="A40" t="s">
        <v>79</v>
      </c>
      <c r="D40" t="s">
        <v>80</v>
      </c>
    </row>
    <row r="41" spans="1:4" x14ac:dyDescent="0.3">
      <c r="D41" t="s">
        <v>81</v>
      </c>
    </row>
    <row r="43" spans="1:4" x14ac:dyDescent="0.3">
      <c r="D43" t="s">
        <v>82</v>
      </c>
    </row>
    <row r="44" spans="1:4" x14ac:dyDescent="0.3">
      <c r="D44" t="s">
        <v>92</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6">
    <tabColor rgb="FF00B05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19" t="s">
        <v>111</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20</v>
      </c>
      <c r="D6" s="102" t="s">
        <v>32</v>
      </c>
      <c r="E6" s="103"/>
      <c r="F6" s="34">
        <v>2.4</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1424.16</v>
      </c>
      <c r="K11" s="50">
        <f>J11*(VLOOKUP(OpdateretÅrstal,Prislistetillæg!$A$5:$C$61,3,FALSE)/VLOOKUP(Produktionsår,Prislistetillæg!$A$5:$C$61,3,FALSE))</f>
        <v>2330.1726055637878</v>
      </c>
    </row>
    <row r="12" spans="1:11" ht="24.75" customHeight="1" x14ac:dyDescent="0.3">
      <c r="B12" s="26" t="s">
        <v>42</v>
      </c>
      <c r="C12" s="101" t="s">
        <v>43</v>
      </c>
      <c r="D12" s="101"/>
      <c r="E12" s="101"/>
      <c r="F12" s="101"/>
      <c r="G12" s="101"/>
      <c r="H12" s="101"/>
      <c r="I12" s="28">
        <v>7.33</v>
      </c>
      <c r="J12" s="38">
        <f>($C$6*$F$6)*I12</f>
        <v>351.84000000000003</v>
      </c>
      <c r="K12" s="50">
        <f>J12*(VLOOKUP(OpdateretÅrstal,Prislistetillæg!$A$5:$C$61,3,FALSE)/VLOOKUP(Produktionsår,Prislistetillæg!$A$5:$C$61,3,FALSE))</f>
        <v>575.67122341700588</v>
      </c>
    </row>
    <row r="13" spans="1:11" x14ac:dyDescent="0.3">
      <c r="B13" s="26" t="s">
        <v>44</v>
      </c>
      <c r="C13" s="101" t="s">
        <v>45</v>
      </c>
      <c r="D13" s="101"/>
      <c r="E13" s="101"/>
      <c r="F13" s="101"/>
      <c r="G13" s="101"/>
      <c r="H13" s="101"/>
      <c r="I13" s="28">
        <v>15.49</v>
      </c>
      <c r="J13" s="39">
        <f>($C$6*$F$6)*2*I13</f>
        <v>1487.04</v>
      </c>
      <c r="K13" s="50">
        <f>J13*(VLOOKUP(OpdateretÅrstal,Prislistetillæg!$A$5:$C$61,3,FALSE)/VLOOKUP(Produktionsår,Prislistetillæg!$A$5:$C$61,3,FALSE))</f>
        <v>2433.0551843736484</v>
      </c>
    </row>
    <row r="14" spans="1:11" ht="26.25" customHeight="1" x14ac:dyDescent="0.3">
      <c r="B14" s="26" t="s">
        <v>46</v>
      </c>
      <c r="C14" s="101" t="s">
        <v>47</v>
      </c>
      <c r="D14" s="101"/>
      <c r="E14" s="101"/>
      <c r="F14" s="101"/>
      <c r="G14" s="101"/>
      <c r="H14" s="101"/>
      <c r="I14" s="28">
        <v>9.36</v>
      </c>
      <c r="J14" s="39">
        <f>($C$6*$F$6)*2*I14</f>
        <v>898.56</v>
      </c>
      <c r="K14" s="50">
        <f>J14*(VLOOKUP(OpdateretÅrstal,Prislistetillæg!$A$5:$C$61,3,FALSE)/VLOOKUP(Produktionsår,Prislistetillæg!$A$5:$C$61,3,FALSE))</f>
        <v>1470.1999048248772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350.33600000000001</v>
      </c>
      <c r="K19" s="50">
        <f>J19*(VLOOKUP(OpdateretÅrstal,Prislistetillæg!$A$5:$C$61,3,FALSE)/VLOOKUP(Produktionsår,Prislistetillæg!$A$5:$C$61,3,FALSE))</f>
        <v>573.21041873300419</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4620.8960000000006</v>
      </c>
      <c r="K27" s="48">
        <f>J27*(VLOOKUP(OpdateretÅrstal,Prislistetillæg!$A$5:$C$61,3,FALSE)/VLOOKUP(Produktionsår,Prislistetillæg!$A$5:$C$61,3,FALSE))</f>
        <v>7560.586782636281</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96.268666666666675</v>
      </c>
      <c r="K29" s="49">
        <f>J29*(VLOOKUP(OpdateretÅrstal,Prislistetillæg!$A$5:$C$61,3,FALSE)/VLOOKUP(Produktionsår,Prislistetillæg!$A$5:$C$61,3,FALSE))</f>
        <v>157.51222463825584</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7">
    <tabColor rgb="FF00B05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19" t="s">
        <v>112</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20</v>
      </c>
      <c r="D6" s="102" t="s">
        <v>32</v>
      </c>
      <c r="E6" s="103"/>
      <c r="F6" s="34">
        <v>2.8</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1661.52</v>
      </c>
      <c r="K11" s="50">
        <f>J11*(VLOOKUP(OpdateretÅrstal,Prislistetillæg!$A$5:$C$61,3,FALSE)/VLOOKUP(Produktionsår,Prislistetillæg!$A$5:$C$61,3,FALSE))</f>
        <v>2718.5347064910857</v>
      </c>
    </row>
    <row r="12" spans="1:11" ht="24.75" customHeight="1" x14ac:dyDescent="0.3">
      <c r="B12" s="26" t="s">
        <v>42</v>
      </c>
      <c r="C12" s="101" t="s">
        <v>43</v>
      </c>
      <c r="D12" s="101"/>
      <c r="E12" s="101"/>
      <c r="F12" s="101"/>
      <c r="G12" s="101"/>
      <c r="H12" s="101"/>
      <c r="I12" s="28">
        <v>7.33</v>
      </c>
      <c r="J12" s="38">
        <f>($C$6*$F$6)*I12</f>
        <v>410.48</v>
      </c>
      <c r="K12" s="50">
        <f>J12*(VLOOKUP(OpdateretÅrstal,Prislistetillæg!$A$5:$C$61,3,FALSE)/VLOOKUP(Produktionsår,Prislistetillæg!$A$5:$C$61,3,FALSE))</f>
        <v>671.61642731984023</v>
      </c>
    </row>
    <row r="13" spans="1:11" x14ac:dyDescent="0.3">
      <c r="B13" s="26" t="s">
        <v>44</v>
      </c>
      <c r="C13" s="101" t="s">
        <v>45</v>
      </c>
      <c r="D13" s="101"/>
      <c r="E13" s="101"/>
      <c r="F13" s="101"/>
      <c r="G13" s="101"/>
      <c r="H13" s="101"/>
      <c r="I13" s="28">
        <v>15.49</v>
      </c>
      <c r="J13" s="39">
        <f>($C$6*$F$6)*2*I13</f>
        <v>1734.88</v>
      </c>
      <c r="K13" s="50">
        <f>J13*(VLOOKUP(OpdateretÅrstal,Prislistetillæg!$A$5:$C$61,3,FALSE)/VLOOKUP(Produktionsår,Prislistetillæg!$A$5:$C$61,3,FALSE))</f>
        <v>2838.5643817692567</v>
      </c>
    </row>
    <row r="14" spans="1:11" ht="26.25" customHeight="1" x14ac:dyDescent="0.3">
      <c r="B14" s="26" t="s">
        <v>46</v>
      </c>
      <c r="C14" s="101" t="s">
        <v>47</v>
      </c>
      <c r="D14" s="101"/>
      <c r="E14" s="101"/>
      <c r="F14" s="101"/>
      <c r="G14" s="101"/>
      <c r="H14" s="101"/>
      <c r="I14" s="28">
        <v>9.36</v>
      </c>
      <c r="J14" s="39">
        <f>($C$6*$F$6)*2*I14</f>
        <v>1048.32</v>
      </c>
      <c r="K14" s="50">
        <f>J14*(VLOOKUP(OpdateretÅrstal,Prislistetillæg!$A$5:$C$61,3,FALSE)/VLOOKUP(Produktionsår,Prislistetillæg!$A$5:$C$61,3,FALSE))</f>
        <v>1715.23322229569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114.80000000000001</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356.59200000000004</v>
      </c>
      <c r="K19" s="50">
        <f>J19*(VLOOKUP(OpdateretÅrstal,Prislistetillæg!$A$5:$C$61,3,FALSE)/VLOOKUP(Produktionsår,Prislistetillæg!$A$5:$C$61,3,FALSE))</f>
        <v>583.44631906752215</v>
      </c>
    </row>
    <row r="20" spans="1:11" ht="12.75" customHeight="1" x14ac:dyDescent="0.3">
      <c r="B20" s="26" t="s">
        <v>56</v>
      </c>
      <c r="C20" s="97" t="s">
        <v>57</v>
      </c>
      <c r="D20" s="97"/>
      <c r="E20" s="97"/>
      <c r="F20" s="97"/>
      <c r="G20" s="97"/>
      <c r="H20" s="97"/>
      <c r="I20" s="28">
        <v>1.93</v>
      </c>
      <c r="J20" s="51">
        <f>C6*I20</f>
        <v>38.6</v>
      </c>
      <c r="K20" s="50">
        <f>J20*(VLOOKUP(OpdateretÅrstal,Prislistetillæg!$A$5:$C$61,3,FALSE)/VLOOKUP(Produktionsår,Prislistetillæg!$A$5:$C$61,3,FALSE))</f>
        <v>63.156290427172657</v>
      </c>
    </row>
    <row r="21" spans="1:11" ht="12.75" customHeight="1" x14ac:dyDescent="0.3">
      <c r="B21" s="26" t="s">
        <v>58</v>
      </c>
      <c r="C21" s="97" t="s">
        <v>59</v>
      </c>
      <c r="D21" s="97"/>
      <c r="E21" s="97"/>
      <c r="F21" s="97"/>
      <c r="G21" s="97"/>
      <c r="H21" s="97"/>
      <c r="I21" s="28">
        <v>3.87</v>
      </c>
      <c r="J21" s="31">
        <f>C6*2*I21</f>
        <v>154.80000000000001</v>
      </c>
      <c r="K21" s="50">
        <f>J21*(VLOOKUP(OpdateretÅrstal,Prislistetillæg!$A$5:$C$61,3,FALSE)/VLOOKUP(Produktionsår,Prislistetillæg!$A$5:$C$61,3,FALSE))</f>
        <v>253.27963103954215</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5435.5519999999997</v>
      </c>
      <c r="K27" s="48">
        <f>J27*(VLOOKUP(OpdateretÅrstal,Prislistetillæg!$A$5:$C$61,3,FALSE)/VLOOKUP(Produktionsår,Prislistetillæg!$A$5:$C$61,3,FALSE))</f>
        <v>8893.5052006217393</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97.06342857142856</v>
      </c>
      <c r="K29" s="49">
        <f>J29*(VLOOKUP(OpdateretÅrstal,Prislistetillæg!$A$5:$C$61,3,FALSE)/VLOOKUP(Produktionsår,Prislistetillæg!$A$5:$C$61,3,FALSE))</f>
        <v>158.81259286824533</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28">
    <tabColor rgb="FF00B050"/>
  </sheetPr>
  <dimension ref="A1:K33"/>
  <sheetViews>
    <sheetView topLeftCell="A7"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19" t="s">
        <v>113</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20</v>
      </c>
      <c r="D6" s="102" t="s">
        <v>32</v>
      </c>
      <c r="E6" s="103"/>
      <c r="F6" s="34">
        <v>3.6</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2136.2400000000002</v>
      </c>
      <c r="K11" s="50">
        <f>J11*(VLOOKUP(OpdateretÅrstal,Prislistetillæg!$A$5:$C$61,3,FALSE)/VLOOKUP(Produktionsår,Prislistetillæg!$A$5:$C$61,3,FALSE))</f>
        <v>3495.2589083456819</v>
      </c>
    </row>
    <row r="12" spans="1:11" ht="24.75" customHeight="1" x14ac:dyDescent="0.3">
      <c r="B12" s="26" t="s">
        <v>42</v>
      </c>
      <c r="C12" s="101" t="s">
        <v>43</v>
      </c>
      <c r="D12" s="101"/>
      <c r="E12" s="101"/>
      <c r="F12" s="101"/>
      <c r="G12" s="101"/>
      <c r="H12" s="101"/>
      <c r="I12" s="28">
        <v>7.33</v>
      </c>
      <c r="J12" s="38">
        <f>($C$6*$F$6)*I12</f>
        <v>527.76</v>
      </c>
      <c r="K12" s="50">
        <f>J12*(VLOOKUP(OpdateretÅrstal,Prislistetillæg!$A$5:$C$61,3,FALSE)/VLOOKUP(Produktionsår,Prislistetillæg!$A$5:$C$61,3,FALSE))</f>
        <v>863.50683512550881</v>
      </c>
    </row>
    <row r="13" spans="1:11" x14ac:dyDescent="0.3">
      <c r="B13" s="26" t="s">
        <v>44</v>
      </c>
      <c r="C13" s="101" t="s">
        <v>45</v>
      </c>
      <c r="D13" s="101"/>
      <c r="E13" s="101"/>
      <c r="F13" s="101"/>
      <c r="G13" s="101"/>
      <c r="H13" s="101"/>
      <c r="I13" s="28">
        <v>15.49</v>
      </c>
      <c r="J13" s="39">
        <f>($C$6*$F$6)*2*I13</f>
        <v>2230.56</v>
      </c>
      <c r="K13" s="50">
        <f>J13*(VLOOKUP(OpdateretÅrstal,Prislistetillæg!$A$5:$C$61,3,FALSE)/VLOOKUP(Produktionsår,Prislistetillæg!$A$5:$C$61,3,FALSE))</f>
        <v>3649.5827765604722</v>
      </c>
    </row>
    <row r="14" spans="1:11" ht="25.5" customHeight="1" x14ac:dyDescent="0.3">
      <c r="B14" s="26" t="s">
        <v>46</v>
      </c>
      <c r="C14" s="101" t="s">
        <v>47</v>
      </c>
      <c r="D14" s="101"/>
      <c r="E14" s="101"/>
      <c r="F14" s="101"/>
      <c r="G14" s="101"/>
      <c r="H14" s="101"/>
      <c r="I14" s="28">
        <v>9.36</v>
      </c>
      <c r="J14" s="39">
        <f>($C$6*$F$6)*2*I14</f>
        <v>1347.84</v>
      </c>
      <c r="K14" s="50">
        <f>J14*(VLOOKUP(OpdateretÅrstal,Prislistetillæg!$A$5:$C$61,3,FALSE)/VLOOKUP(Produktionsår,Prislistetillæg!$A$5:$C$61,3,FALSE))</f>
        <v>2205.2998572373158</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4.75" customHeight="1" x14ac:dyDescent="0.3">
      <c r="B17" s="26" t="s">
        <v>52</v>
      </c>
      <c r="C17" s="101" t="s">
        <v>53</v>
      </c>
      <c r="D17" s="101"/>
      <c r="E17" s="101"/>
      <c r="F17" s="101"/>
      <c r="G17" s="101"/>
      <c r="H17" s="101"/>
      <c r="I17" s="28">
        <v>2.87</v>
      </c>
      <c r="J17" s="38">
        <f>2*C6*I17</f>
        <v>114.80000000000001</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369.10400000000004</v>
      </c>
      <c r="K19" s="50">
        <f>J19*(VLOOKUP(OpdateretÅrstal,Prislistetillæg!$A$5:$C$61,3,FALSE)/VLOOKUP(Produktionsår,Prislistetillæg!$A$5:$C$61,3,FALSE))</f>
        <v>603.91811973655797</v>
      </c>
    </row>
    <row r="20" spans="1:11" x14ac:dyDescent="0.3">
      <c r="B20" s="26" t="s">
        <v>56</v>
      </c>
      <c r="C20" s="97" t="s">
        <v>57</v>
      </c>
      <c r="D20" s="97"/>
      <c r="E20" s="97"/>
      <c r="F20" s="97"/>
      <c r="G20" s="97"/>
      <c r="H20" s="97"/>
      <c r="I20" s="28">
        <v>2.91</v>
      </c>
      <c r="J20" s="51">
        <f>C6*I20</f>
        <v>58.2</v>
      </c>
      <c r="K20" s="50">
        <f>J20*(VLOOKUP(OpdateretÅrstal,Prislistetillæg!$A$5:$C$61,3,FALSE)/VLOOKUP(Produktionsår,Prislistetillæg!$A$5:$C$61,3,FALSE))</f>
        <v>95.22528763889764</v>
      </c>
    </row>
    <row r="21" spans="1:11" x14ac:dyDescent="0.3">
      <c r="B21" s="26" t="s">
        <v>58</v>
      </c>
      <c r="C21" s="97" t="s">
        <v>59</v>
      </c>
      <c r="D21" s="97"/>
      <c r="E21" s="97"/>
      <c r="F21" s="97"/>
      <c r="G21" s="97"/>
      <c r="H21" s="97"/>
      <c r="I21" s="28">
        <v>5.79</v>
      </c>
      <c r="J21" s="31">
        <f>C6*2*I21</f>
        <v>231.6</v>
      </c>
      <c r="K21" s="50">
        <f>J21*(VLOOKUP(OpdateretÅrstal,Prislistetillæg!$A$5:$C$61,3,FALSE)/VLOOKUP(Produktionsår,Prislistetillæg!$A$5:$C$61,3,FALSE))</f>
        <v>378.9377425630359</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6835.2640000000001</v>
      </c>
      <c r="K27" s="48">
        <f>J27*(VLOOKUP(OpdateretÅrstal,Prislistetillæg!$A$5:$C$61,3,FALSE)/VLOOKUP(Produktionsår,Prislistetillæg!$A$5:$C$61,3,FALSE))</f>
        <v>11183.676640683883</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94.934222222222218</v>
      </c>
      <c r="K29" s="49">
        <f>J29*(VLOOKUP(OpdateretÅrstal,Prislistetillæg!$A$5:$C$61,3,FALSE)/VLOOKUP(Produktionsår,Prislistetillæg!$A$5:$C$61,3,FALSE))</f>
        <v>155.32884223172059</v>
      </c>
    </row>
    <row r="32" spans="1:11" x14ac:dyDescent="0.3">
      <c r="A32" t="s">
        <v>70</v>
      </c>
    </row>
    <row r="33" spans="1:1" x14ac:dyDescent="0.3">
      <c r="A33" t="s">
        <v>71</v>
      </c>
    </row>
  </sheetData>
  <mergeCells count="25">
    <mergeCell ref="C27:H27"/>
    <mergeCell ref="C28:H28"/>
    <mergeCell ref="C29:H29"/>
    <mergeCell ref="C22:H22"/>
    <mergeCell ref="C23:H23"/>
    <mergeCell ref="C24:H24"/>
    <mergeCell ref="C25:H25"/>
    <mergeCell ref="C26:H26"/>
    <mergeCell ref="C17:H17"/>
    <mergeCell ref="C18:H18"/>
    <mergeCell ref="C19:H19"/>
    <mergeCell ref="C20:H20"/>
    <mergeCell ref="C21:H21"/>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29">
    <tabColor rgb="FF00B050"/>
  </sheetPr>
  <dimension ref="A1:K44"/>
  <sheetViews>
    <sheetView workbookViewId="0">
      <selection activeCell="N17" sqref="N17"/>
    </sheetView>
  </sheetViews>
  <sheetFormatPr defaultRowHeight="13.5" x14ac:dyDescent="0.3"/>
  <cols>
    <col min="9" max="9" width="9.4609375" bestFit="1" customWidth="1"/>
    <col min="10" max="11" width="13.23046875" bestFit="1" customWidth="1"/>
  </cols>
  <sheetData>
    <row r="1" spans="1:11" ht="14" thickBot="1" x14ac:dyDescent="0.35">
      <c r="A1" s="119" t="s">
        <v>114</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20</v>
      </c>
      <c r="D6" s="102" t="s">
        <v>32</v>
      </c>
      <c r="E6" s="103"/>
      <c r="F6" s="34">
        <v>5</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2967</v>
      </c>
      <c r="K11" s="50">
        <f>J11*(VLOOKUP(OpdateretÅrstal,Prislistetillæg!$A$5:$C$61,3,FALSE)/VLOOKUP(Produktionsår,Prislistetillæg!$A$5:$C$61,3,FALSE))</f>
        <v>4854.5262615912243</v>
      </c>
    </row>
    <row r="12" spans="1:11" ht="25.5" customHeight="1" x14ac:dyDescent="0.3">
      <c r="B12" s="26" t="s">
        <v>42</v>
      </c>
      <c r="C12" s="101" t="s">
        <v>43</v>
      </c>
      <c r="D12" s="101"/>
      <c r="E12" s="101"/>
      <c r="F12" s="101"/>
      <c r="G12" s="101"/>
      <c r="H12" s="101"/>
      <c r="I12" s="28">
        <v>7.33</v>
      </c>
      <c r="J12" s="38">
        <f>($C$6*$F$6)*I12</f>
        <v>733</v>
      </c>
      <c r="K12" s="50">
        <f>J12*(VLOOKUP(OpdateretÅrstal,Prislistetillæg!$A$5:$C$61,3,FALSE)/VLOOKUP(Produktionsår,Prislistetillæg!$A$5:$C$61,3,FALSE))</f>
        <v>1199.3150487854289</v>
      </c>
    </row>
    <row r="13" spans="1:11" x14ac:dyDescent="0.3">
      <c r="B13" s="26" t="s">
        <v>44</v>
      </c>
      <c r="C13" s="101" t="s">
        <v>45</v>
      </c>
      <c r="D13" s="101"/>
      <c r="E13" s="101"/>
      <c r="F13" s="101"/>
      <c r="G13" s="101"/>
      <c r="H13" s="101"/>
      <c r="I13" s="28">
        <v>15.49</v>
      </c>
      <c r="J13" s="39">
        <f>($C$6*$F$6)*2*I13</f>
        <v>3098</v>
      </c>
      <c r="K13" s="50">
        <f>J13*(VLOOKUP(OpdateretÅrstal,Prislistetillæg!$A$5:$C$61,3,FALSE)/VLOOKUP(Produktionsår,Prislistetillæg!$A$5:$C$61,3,FALSE))</f>
        <v>5068.8649674451008</v>
      </c>
    </row>
    <row r="14" spans="1:11" ht="25.5" customHeight="1" x14ac:dyDescent="0.3">
      <c r="B14" s="26" t="s">
        <v>46</v>
      </c>
      <c r="C14" s="101" t="s">
        <v>47</v>
      </c>
      <c r="D14" s="101"/>
      <c r="E14" s="101"/>
      <c r="F14" s="101"/>
      <c r="G14" s="101"/>
      <c r="H14" s="101"/>
      <c r="I14" s="28">
        <v>9.36</v>
      </c>
      <c r="J14" s="39">
        <f>($C$6*$F$6)*2*I14</f>
        <v>1872</v>
      </c>
      <c r="K14" s="50">
        <f>J14*(VLOOKUP(OpdateretÅrstal,Prislistetillæg!$A$5:$C$61,3,FALSE)/VLOOKUP(Produktionsår,Prislistetillæg!$A$5:$C$61,3,FALSE))</f>
        <v>3062.9164683851609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229.60000000000002</v>
      </c>
      <c r="K17" s="50">
        <f>J17*(VLOOKUP(OpdateretÅrstal,Prislistetillæg!$A$5:$C$61,3,FALSE)/VLOOKUP(Produktionsår,Prislistetillæg!$A$5:$C$61,3,FALSE))</f>
        <v>375.66539590877829</v>
      </c>
    </row>
    <row r="18" spans="1:11" ht="26.25" customHeight="1" x14ac:dyDescent="0.3">
      <c r="B18" s="26" t="s">
        <v>54</v>
      </c>
      <c r="C18" s="97" t="s">
        <v>55</v>
      </c>
      <c r="D18" s="97"/>
      <c r="E18" s="97"/>
      <c r="F18" s="97"/>
      <c r="G18" s="97"/>
      <c r="H18" s="97"/>
      <c r="I18" s="28">
        <v>3.91</v>
      </c>
      <c r="J18" s="52">
        <f>2*(2*(C6+F6))*I18</f>
        <v>391</v>
      </c>
      <c r="K18" s="50">
        <f>J18*(VLOOKUP(OpdateretÅrstal,Prislistetillæg!$A$5:$C$61,3,FALSE)/VLOOKUP(Produktionsår,Prislistetillæg!$A$5:$C$61,3,FALSE))</f>
        <v>639.74377090737062</v>
      </c>
    </row>
    <row r="19" spans="1:11" ht="12.75" customHeight="1" x14ac:dyDescent="0.3">
      <c r="B19" s="26" t="s">
        <v>98</v>
      </c>
      <c r="C19" s="110" t="s">
        <v>99</v>
      </c>
      <c r="D19" s="111"/>
      <c r="E19" s="111"/>
      <c r="F19" s="111"/>
      <c r="G19" s="111"/>
      <c r="H19" s="112"/>
      <c r="I19" s="73">
        <v>5.0000000000000001E-3</v>
      </c>
      <c r="J19" s="72">
        <f>(SUM(J11:J18)/100)*0.5</f>
        <v>46.997799999999998</v>
      </c>
      <c r="K19" s="50">
        <f>J19*(VLOOKUP(OpdateretÅrstal,Prislistetillæg!$A$5:$C$61,3,FALSE)/VLOOKUP(Produktionsår,Prislistetillæg!$A$5:$C$61,3,FALSE))</f>
        <v>76.896546793735098</v>
      </c>
    </row>
    <row r="20" spans="1:11" x14ac:dyDescent="0.3">
      <c r="B20" s="26" t="s">
        <v>56</v>
      </c>
      <c r="C20" s="97" t="s">
        <v>57</v>
      </c>
      <c r="D20" s="97"/>
      <c r="E20" s="97"/>
      <c r="F20" s="97"/>
      <c r="G20" s="97"/>
      <c r="H20" s="97"/>
      <c r="I20" s="28">
        <v>5.32</v>
      </c>
      <c r="J20" s="51">
        <f>C6*I20</f>
        <v>106.4</v>
      </c>
      <c r="K20" s="50">
        <f>J20*(VLOOKUP(OpdateretÅrstal,Prislistetillæg!$A$5:$C$61,3,FALSE)/VLOOKUP(Produktionsår,Prislistetillæg!$A$5:$C$61,3,FALSE))</f>
        <v>174.08884200650701</v>
      </c>
    </row>
    <row r="21" spans="1:11" x14ac:dyDescent="0.3">
      <c r="B21" s="26" t="s">
        <v>58</v>
      </c>
      <c r="C21" s="97" t="s">
        <v>59</v>
      </c>
      <c r="D21" s="97"/>
      <c r="E21" s="97"/>
      <c r="F21" s="97"/>
      <c r="G21" s="97"/>
      <c r="H21" s="97"/>
      <c r="I21" s="28">
        <v>10.63</v>
      </c>
      <c r="J21" s="31">
        <f>C6*2*I21</f>
        <v>425.20000000000005</v>
      </c>
      <c r="K21" s="50">
        <f>J21*(VLOOKUP(OpdateretÅrstal,Prislistetillæg!$A$5:$C$61,3,FALSE)/VLOOKUP(Produktionsår,Prislistetillæg!$A$5:$C$61,3,FALSE))</f>
        <v>695.70089869517653</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ht="38.25" customHeight="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24.7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x14ac:dyDescent="0.3">
      <c r="B25" s="26" t="s">
        <v>66</v>
      </c>
      <c r="C25" s="110" t="s">
        <v>67</v>
      </c>
      <c r="D25" s="111"/>
      <c r="E25" s="111"/>
      <c r="F25" s="111"/>
      <c r="G25" s="111"/>
      <c r="H25" s="112"/>
      <c r="I25" s="28">
        <v>5.76</v>
      </c>
      <c r="J25" s="38">
        <f>(2*I25)*8</f>
        <v>92.16</v>
      </c>
      <c r="K25" s="50">
        <f>J25*(VLOOKUP(OpdateretÅrstal,Prislistetillæg!$A$5:$C$61,3,FALSE)/VLOOKUP(Produktionsår,Prislistetillæg!$A$5:$C$61,3,FALSE))</f>
        <v>150.78973382819254</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SUM(J11:J18)</f>
        <v>9399.56</v>
      </c>
      <c r="K27" s="48">
        <f>J27*(VLOOKUP(OpdateretÅrstal,Prislistetillæg!$A$5:$C$61,3,FALSE)/VLOOKUP(Produktionsår,Prislistetillæg!$A$5:$C$61,3,FALSE))</f>
        <v>15379.309358747019</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93.995599999999996</v>
      </c>
      <c r="K29" s="49">
        <f>J29*(VLOOKUP(OpdateretÅrstal,Prislistetillæg!$A$5:$C$61,3,FALSE)/VLOOKUP(Produktionsår,Prislistetillæg!$A$5:$C$61,3,FALSE))</f>
        <v>153.7930935874702</v>
      </c>
    </row>
    <row r="31" spans="1:11" x14ac:dyDescent="0.3">
      <c r="A31" t="s">
        <v>70</v>
      </c>
    </row>
    <row r="32" spans="1:11" x14ac:dyDescent="0.3">
      <c r="A32" t="s">
        <v>71</v>
      </c>
    </row>
    <row r="35" spans="1:4" x14ac:dyDescent="0.3">
      <c r="A35" t="s">
        <v>75</v>
      </c>
    </row>
    <row r="36" spans="1:4" x14ac:dyDescent="0.3">
      <c r="D36" t="s">
        <v>76</v>
      </c>
    </row>
    <row r="37" spans="1:4" x14ac:dyDescent="0.3">
      <c r="D37" t="s">
        <v>77</v>
      </c>
    </row>
    <row r="38" spans="1:4" x14ac:dyDescent="0.3">
      <c r="D38" t="s">
        <v>78</v>
      </c>
    </row>
    <row r="39" spans="1:4" x14ac:dyDescent="0.3">
      <c r="A39" t="s">
        <v>79</v>
      </c>
    </row>
    <row r="40" spans="1:4" x14ac:dyDescent="0.3">
      <c r="D40" t="s">
        <v>80</v>
      </c>
    </row>
    <row r="41" spans="1:4" x14ac:dyDescent="0.3">
      <c r="D41" t="s">
        <v>81</v>
      </c>
    </row>
    <row r="43" spans="1:4" x14ac:dyDescent="0.3">
      <c r="D43" t="s">
        <v>82</v>
      </c>
    </row>
    <row r="44" spans="1:4" x14ac:dyDescent="0.3">
      <c r="D44" t="s">
        <v>100</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20:H20"/>
    <mergeCell ref="C21:H21"/>
    <mergeCell ref="C10:H10"/>
    <mergeCell ref="C19:H19"/>
    <mergeCell ref="A1:K1"/>
    <mergeCell ref="A6:B6"/>
    <mergeCell ref="D6:E6"/>
    <mergeCell ref="G6:I6"/>
    <mergeCell ref="C9:H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A1:K33"/>
  <sheetViews>
    <sheetView workbookViewId="0">
      <selection activeCell="N17" sqref="N17"/>
    </sheetView>
  </sheetViews>
  <sheetFormatPr defaultRowHeight="13.5" x14ac:dyDescent="0.3"/>
  <cols>
    <col min="9" max="10" width="10.4609375" bestFit="1" customWidth="1"/>
    <col min="11" max="11" width="12" bestFit="1" customWidth="1"/>
  </cols>
  <sheetData>
    <row r="1" spans="1:11" ht="14" thickBot="1" x14ac:dyDescent="0.35">
      <c r="A1" s="98" t="s">
        <v>72</v>
      </c>
      <c r="B1" s="99"/>
      <c r="C1" s="99"/>
      <c r="D1" s="99"/>
      <c r="E1" s="99"/>
      <c r="F1" s="99"/>
      <c r="G1" s="99"/>
      <c r="H1" s="99"/>
      <c r="I1" s="99"/>
      <c r="J1" s="99"/>
      <c r="K1" s="100"/>
    </row>
    <row r="3" spans="1:11" x14ac:dyDescent="0.3">
      <c r="A3" t="s">
        <v>29</v>
      </c>
      <c r="D3" s="36">
        <v>2014</v>
      </c>
      <c r="E3" t="s">
        <v>30</v>
      </c>
    </row>
    <row r="6" spans="1:11" x14ac:dyDescent="0.3">
      <c r="A6" s="102" t="s">
        <v>31</v>
      </c>
      <c r="B6" s="103"/>
      <c r="C6" s="34">
        <v>2</v>
      </c>
      <c r="D6" s="102" t="s">
        <v>32</v>
      </c>
      <c r="E6" s="103"/>
      <c r="F6" s="34">
        <v>2.8</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189.392</v>
      </c>
      <c r="K11" s="50">
        <f>J11*(VLOOKUP(OpdateretÅrstal,Prislistetillæg!$A$5:$C$61,3,FALSE)/VLOOKUP(Produktionsår,Prislistetillæg!$A$5:$C$61,3,FALSE))</f>
        <v>309.87813877158248</v>
      </c>
    </row>
    <row r="12" spans="1:11" ht="24.75" customHeight="1" x14ac:dyDescent="0.3">
      <c r="B12" s="26" t="s">
        <v>42</v>
      </c>
      <c r="C12" s="101" t="s">
        <v>43</v>
      </c>
      <c r="D12" s="101"/>
      <c r="E12" s="101"/>
      <c r="F12" s="101"/>
      <c r="G12" s="101"/>
      <c r="H12" s="101"/>
      <c r="I12" s="28">
        <v>7.33</v>
      </c>
      <c r="J12" s="38">
        <f>($C$6*$F$6)*I12</f>
        <v>41.047999999999995</v>
      </c>
      <c r="K12" s="50">
        <f>J12*(VLOOKUP(OpdateretÅrstal,Prislistetillæg!$A$5:$C$61,3,FALSE)/VLOOKUP(Produktionsår,Prislistetillæg!$A$5:$C$61,3,FALSE))</f>
        <v>67.161642731984003</v>
      </c>
    </row>
    <row r="13" spans="1:11" x14ac:dyDescent="0.3">
      <c r="B13" s="26" t="s">
        <v>44</v>
      </c>
      <c r="C13" s="101" t="s">
        <v>45</v>
      </c>
      <c r="D13" s="101"/>
      <c r="E13" s="101"/>
      <c r="F13" s="101"/>
      <c r="G13" s="101"/>
      <c r="H13" s="101"/>
      <c r="I13" s="28">
        <v>18.29</v>
      </c>
      <c r="J13" s="39">
        <f>($C$6*$F$6)*2*I13</f>
        <v>204.84799999999998</v>
      </c>
      <c r="K13" s="50">
        <f>J13*(VLOOKUP(OpdateretÅrstal,Prislistetillæg!$A$5:$C$61,3,FALSE)/VLOOKUP(Produktionsår,Prislistetillæg!$A$5:$C$61,3,FALSE))</f>
        <v>335.16683371568558</v>
      </c>
    </row>
    <row r="14" spans="1:11" ht="26.25" customHeight="1" x14ac:dyDescent="0.3">
      <c r="B14" s="26" t="s">
        <v>46</v>
      </c>
      <c r="C14" s="101" t="s">
        <v>47</v>
      </c>
      <c r="D14" s="101"/>
      <c r="E14" s="101"/>
      <c r="F14" s="101"/>
      <c r="G14" s="101"/>
      <c r="H14" s="101"/>
      <c r="I14" s="28">
        <v>9.36</v>
      </c>
      <c r="J14" s="39">
        <f>($C$6*$F$6)*2*I14</f>
        <v>104.83199999999999</v>
      </c>
      <c r="K14" s="50">
        <f>J14*(VLOOKUP(OpdateretÅrstal,Prislistetillæg!$A$5:$C$61,3,FALSE)/VLOOKUP(Produktionsår,Prislistetillæg!$A$5:$C$61,3,FALSE))</f>
        <v>171.523322229569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11.48</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75.072000000000003</v>
      </c>
      <c r="K19" s="50">
        <f>J19*(VLOOKUP(OpdateretÅrstal,Prislistetillæg!$A$5:$C$61,3,FALSE)/VLOOKUP(Produktionsår,Prislistetillæg!$A$5:$C$61,3,FALSE))</f>
        <v>122.83080401421518</v>
      </c>
    </row>
    <row r="20" spans="1:11" ht="12.75" customHeight="1" x14ac:dyDescent="0.3">
      <c r="B20" s="26" t="s">
        <v>56</v>
      </c>
      <c r="C20" s="97" t="s">
        <v>57</v>
      </c>
      <c r="D20" s="97"/>
      <c r="E20" s="97"/>
      <c r="F20" s="97"/>
      <c r="G20" s="97"/>
      <c r="H20" s="97"/>
      <c r="I20" s="28">
        <v>1.93</v>
      </c>
      <c r="J20" s="51">
        <f>C6*I20</f>
        <v>3.86</v>
      </c>
      <c r="K20" s="50">
        <f>J20*(VLOOKUP(OpdateretÅrstal,Prislistetillæg!$A$5:$C$61,3,FALSE)/VLOOKUP(Produktionsår,Prislistetillæg!$A$5:$C$61,3,FALSE))</f>
        <v>6.3156290427172657</v>
      </c>
    </row>
    <row r="21" spans="1:11" ht="12.75" customHeight="1" x14ac:dyDescent="0.3">
      <c r="B21" s="26" t="s">
        <v>58</v>
      </c>
      <c r="C21" s="97" t="s">
        <v>59</v>
      </c>
      <c r="D21" s="97"/>
      <c r="E21" s="97"/>
      <c r="F21" s="97"/>
      <c r="G21" s="97"/>
      <c r="H21" s="97"/>
      <c r="I21" s="28">
        <v>3.87</v>
      </c>
      <c r="J21" s="31">
        <f>C6*2*I21</f>
        <v>15.48</v>
      </c>
      <c r="K21" s="50">
        <f>J21*(VLOOKUP(OpdateretÅrstal,Prislistetillæg!$A$5:$C$61,3,FALSE)/VLOOKUP(Produktionsår,Prislistetillæg!$A$5:$C$61,3,FALSE))</f>
        <v>25.327963103954215</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735.63199999999995</v>
      </c>
      <c r="K27" s="48">
        <f>J27*(VLOOKUP(OpdateretÅrstal,Prislistetillæg!$A$5:$C$61,3,FALSE)/VLOOKUP(Produktionsår,Prislistetillæg!$A$5:$C$61,3,FALSE))</f>
        <v>1203.6214569824319</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131.36285714285714</v>
      </c>
      <c r="K29" s="49">
        <f>J29*(VLOOKUP(OpdateretÅrstal,Prislistetillæg!$A$5:$C$61,3,FALSE)/VLOOKUP(Produktionsår,Prislistetillæg!$A$5:$C$61,3,FALSE))</f>
        <v>214.93240303257713</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16:H16"/>
    <mergeCell ref="A1:K1"/>
    <mergeCell ref="A6:B6"/>
    <mergeCell ref="D6:E6"/>
    <mergeCell ref="G6:I6"/>
    <mergeCell ref="C10:H10"/>
    <mergeCell ref="C11:H11"/>
    <mergeCell ref="C12:H12"/>
    <mergeCell ref="C13:H13"/>
    <mergeCell ref="C14:H14"/>
    <mergeCell ref="C15:H15"/>
    <mergeCell ref="C9:H9"/>
    <mergeCell ref="C28:H28"/>
    <mergeCell ref="C29:H29"/>
    <mergeCell ref="C21:H21"/>
    <mergeCell ref="C17:H17"/>
    <mergeCell ref="C18:H18"/>
    <mergeCell ref="C19:H19"/>
    <mergeCell ref="C20:H20"/>
    <mergeCell ref="C26:H26"/>
    <mergeCell ref="C27:H27"/>
    <mergeCell ref="C22:H22"/>
    <mergeCell ref="C23:H23"/>
    <mergeCell ref="C24:H24"/>
    <mergeCell ref="C25:H25"/>
  </mergeCell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0">
    <tabColor rgb="FF00B050"/>
  </sheetPr>
  <dimension ref="A1:K43"/>
  <sheetViews>
    <sheetView workbookViewId="0">
      <selection activeCell="N17" sqref="N17"/>
    </sheetView>
  </sheetViews>
  <sheetFormatPr defaultRowHeight="13.5" x14ac:dyDescent="0.3"/>
  <cols>
    <col min="9" max="9" width="10.4609375" bestFit="1" customWidth="1"/>
    <col min="10" max="11" width="13.23046875" bestFit="1" customWidth="1"/>
  </cols>
  <sheetData>
    <row r="1" spans="1:11" ht="14" thickBot="1" x14ac:dyDescent="0.35">
      <c r="A1" s="119" t="s">
        <v>115</v>
      </c>
      <c r="B1" s="120"/>
      <c r="C1" s="120"/>
      <c r="D1" s="120"/>
      <c r="E1" s="120"/>
      <c r="F1" s="120"/>
      <c r="G1" s="120"/>
      <c r="H1" s="120"/>
      <c r="I1" s="120"/>
      <c r="J1" s="120"/>
      <c r="K1" s="121"/>
    </row>
    <row r="3" spans="1:11" x14ac:dyDescent="0.3">
      <c r="A3" t="s">
        <v>29</v>
      </c>
      <c r="D3" s="36">
        <v>2014</v>
      </c>
      <c r="E3" t="s">
        <v>30</v>
      </c>
    </row>
    <row r="6" spans="1:11" x14ac:dyDescent="0.3">
      <c r="A6" s="102" t="s">
        <v>31</v>
      </c>
      <c r="B6" s="103"/>
      <c r="C6" s="34">
        <v>20</v>
      </c>
      <c r="D6" s="102" t="s">
        <v>32</v>
      </c>
      <c r="E6" s="103"/>
      <c r="F6" s="34">
        <v>6.8</v>
      </c>
      <c r="G6" s="102" t="s">
        <v>33</v>
      </c>
      <c r="H6" s="103"/>
      <c r="I6" s="103"/>
      <c r="J6" s="35">
        <v>300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29.67</v>
      </c>
      <c r="J11" s="37">
        <f>($C$6*$F$6)*I11</f>
        <v>4035.1200000000003</v>
      </c>
      <c r="K11" s="50">
        <f>J11*(VLOOKUP(OpdateretÅrstal,Prislistetillæg!$A$5:$C$61,3,FALSE)/VLOOKUP(Produktionsår,Prislistetillæg!$A$5:$C$61,3,FALSE))</f>
        <v>6602.1557157640655</v>
      </c>
    </row>
    <row r="12" spans="1:11" ht="24.75" customHeight="1" x14ac:dyDescent="0.3">
      <c r="B12" s="26" t="s">
        <v>42</v>
      </c>
      <c r="C12" s="101" t="s">
        <v>43</v>
      </c>
      <c r="D12" s="101"/>
      <c r="E12" s="101"/>
      <c r="F12" s="101"/>
      <c r="G12" s="101"/>
      <c r="H12" s="101"/>
      <c r="I12" s="28">
        <v>7.33</v>
      </c>
      <c r="J12" s="38">
        <f>($C$6*$F$6)*I12</f>
        <v>996.88</v>
      </c>
      <c r="K12" s="50">
        <f>J12*(VLOOKUP(OpdateretÅrstal,Prislistetillæg!$A$5:$C$61,3,FALSE)/VLOOKUP(Produktionsår,Prislistetillæg!$A$5:$C$61,3,FALSE))</f>
        <v>1631.0684663481834</v>
      </c>
    </row>
    <row r="13" spans="1:11" x14ac:dyDescent="0.3">
      <c r="B13" s="26" t="s">
        <v>44</v>
      </c>
      <c r="C13" s="101" t="s">
        <v>45</v>
      </c>
      <c r="D13" s="101"/>
      <c r="E13" s="101"/>
      <c r="F13" s="101"/>
      <c r="G13" s="101"/>
      <c r="H13" s="101"/>
      <c r="I13" s="28">
        <v>15.49</v>
      </c>
      <c r="J13" s="39">
        <f>($C$6*$F$6)*2*I13</f>
        <v>4213.28</v>
      </c>
      <c r="K13" s="50">
        <f>J13*(VLOOKUP(OpdateretÅrstal,Prislistetillæg!$A$5:$C$61,3,FALSE)/VLOOKUP(Produktionsår,Prislistetillæg!$A$5:$C$61,3,FALSE))</f>
        <v>6893.6563557253367</v>
      </c>
    </row>
    <row r="14" spans="1:11" ht="26.25" customHeight="1" x14ac:dyDescent="0.3">
      <c r="B14" s="26" t="s">
        <v>46</v>
      </c>
      <c r="C14" s="101" t="s">
        <v>47</v>
      </c>
      <c r="D14" s="101"/>
      <c r="E14" s="101"/>
      <c r="F14" s="101"/>
      <c r="G14" s="101"/>
      <c r="H14" s="101"/>
      <c r="I14" s="28">
        <v>9.36</v>
      </c>
      <c r="J14" s="39">
        <f>($C$6*$F$6)*2*I14</f>
        <v>2545.92</v>
      </c>
      <c r="K14" s="50">
        <f>J14*(VLOOKUP(OpdateretÅrstal,Prislistetillæg!$A$5:$C$61,3,FALSE)/VLOOKUP(Produktionsår,Prislistetillæg!$A$5:$C$61,3,FALSE))</f>
        <v>4165.5663970038186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4*C6*I17</f>
        <v>229.60000000000002</v>
      </c>
      <c r="K17" s="50">
        <f>J17*(VLOOKUP(OpdateretÅrstal,Prislistetillæg!$A$5:$C$61,3,FALSE)/VLOOKUP(Produktionsår,Prislistetillæg!$A$5:$C$61,3,FALSE))</f>
        <v>375.66539590877829</v>
      </c>
    </row>
    <row r="18" spans="1:11" ht="27" customHeight="1" x14ac:dyDescent="0.3">
      <c r="B18" s="26" t="s">
        <v>54</v>
      </c>
      <c r="C18" s="97" t="s">
        <v>55</v>
      </c>
      <c r="D18" s="97"/>
      <c r="E18" s="97"/>
      <c r="F18" s="97"/>
      <c r="G18" s="97"/>
      <c r="H18" s="97"/>
      <c r="I18" s="28">
        <v>3.91</v>
      </c>
      <c r="J18" s="52">
        <f>2*(2*(C6+F6))*I18</f>
        <v>419.15200000000004</v>
      </c>
      <c r="K18" s="50">
        <f>J18*(VLOOKUP(OpdateretÅrstal,Prislistetillæg!$A$5:$C$61,3,FALSE)/VLOOKUP(Produktionsår,Prislistetillæg!$A$5:$C$61,3,FALSE))</f>
        <v>685.80532241270146</v>
      </c>
    </row>
    <row r="19" spans="1:11" ht="12.75" customHeight="1" x14ac:dyDescent="0.3">
      <c r="B19" s="26" t="s">
        <v>98</v>
      </c>
      <c r="C19" s="110" t="s">
        <v>99</v>
      </c>
      <c r="D19" s="111"/>
      <c r="E19" s="111"/>
      <c r="F19" s="111"/>
      <c r="G19" s="111"/>
      <c r="H19" s="112"/>
      <c r="I19" s="73">
        <v>0.01</v>
      </c>
      <c r="J19" s="72">
        <f>(SUM(J11:J18)/100)</f>
        <v>125.48911999999999</v>
      </c>
      <c r="K19" s="50">
        <f>J19*(VLOOKUP(OpdateretÅrstal,Prislistetillæg!$A$5:$C$61,3,FALSE)/VLOOKUP(Produktionsår,Prislistetillæg!$A$5:$C$61,3,FALSE))</f>
        <v>205.32195098886839</v>
      </c>
    </row>
    <row r="20" spans="1:11" ht="12.75" customHeight="1" x14ac:dyDescent="0.3">
      <c r="B20" s="26" t="s">
        <v>56</v>
      </c>
      <c r="C20" s="97" t="s">
        <v>57</v>
      </c>
      <c r="D20" s="97"/>
      <c r="E20" s="97"/>
      <c r="F20" s="97"/>
      <c r="G20" s="97"/>
      <c r="H20" s="97"/>
      <c r="I20" s="28">
        <v>8.2200000000000006</v>
      </c>
      <c r="J20" s="51">
        <f>C6*I20</f>
        <v>164.4</v>
      </c>
      <c r="K20" s="50">
        <f>J20*(VLOOKUP(OpdateretÅrstal,Prislistetillæg!$A$5:$C$61,3,FALSE)/VLOOKUP(Produktionsår,Prislistetillæg!$A$5:$C$61,3,FALSE))</f>
        <v>268.9868949799789</v>
      </c>
    </row>
    <row r="21" spans="1:11" ht="12.75" customHeight="1" x14ac:dyDescent="0.3">
      <c r="B21" s="26" t="s">
        <v>58</v>
      </c>
      <c r="C21" s="97" t="s">
        <v>59</v>
      </c>
      <c r="D21" s="97"/>
      <c r="E21" s="97"/>
      <c r="F21" s="97"/>
      <c r="G21" s="97"/>
      <c r="H21" s="97"/>
      <c r="I21" s="28">
        <v>16.43</v>
      </c>
      <c r="J21" s="31">
        <f>C6*2*I21</f>
        <v>657.2</v>
      </c>
      <c r="K21" s="50">
        <f>J21*(VLOOKUP(OpdateretÅrstal,Prislistetillæg!$A$5:$C$61,3,FALSE)/VLOOKUP(Produktionsår,Prislistetillæg!$A$5:$C$61,3,FALSE))</f>
        <v>1075.2931105890641</v>
      </c>
    </row>
    <row r="22" spans="1:11" x14ac:dyDescent="0.3">
      <c r="B22" s="26" t="s">
        <v>60</v>
      </c>
      <c r="C22" s="110" t="s">
        <v>61</v>
      </c>
      <c r="D22" s="111"/>
      <c r="E22" s="111"/>
      <c r="F22" s="111"/>
      <c r="G22" s="111"/>
      <c r="H22" s="112"/>
      <c r="I22" s="28">
        <v>32.729999999999997</v>
      </c>
      <c r="J22" s="38">
        <f>(2*I22)*3.2</f>
        <v>209.47199999999998</v>
      </c>
      <c r="K22" s="50">
        <f>J22*(VLOOKUP(OpdateretÅrstal,Prislistetillæg!$A$5:$C$61,3,FALSE)/VLOOKUP(Produktionsår,Prislistetillæg!$A$5:$C$61,3,FALSE))</f>
        <v>342.73249918032923</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59.4512</v>
      </c>
      <c r="K24" s="50">
        <f>J24*(VLOOKUP(OpdateretÅrstal,Prislistetillæg!$A$5:$C$61,3,FALSE)/VLOOKUP(Produktionsår,Prislistetillæg!$A$5:$C$61,3,FALSE))</f>
        <v>97.272467705801219</v>
      </c>
    </row>
    <row r="25" spans="1:11" ht="24.75" customHeight="1" x14ac:dyDescent="0.3">
      <c r="B25" s="26" t="s">
        <v>66</v>
      </c>
      <c r="C25" s="110" t="s">
        <v>67</v>
      </c>
      <c r="D25" s="111"/>
      <c r="E25" s="111"/>
      <c r="F25" s="111"/>
      <c r="G25" s="111"/>
      <c r="H25" s="112"/>
      <c r="I25" s="28">
        <v>5.76</v>
      </c>
      <c r="J25" s="38">
        <f>(2*I25)*8</f>
        <v>92.16</v>
      </c>
      <c r="K25" s="50">
        <f>J25*(VLOOKUP(OpdateretÅrstal,Prislistetillæg!$A$5:$C$61,3,FALSE)/VLOOKUP(Produktionsår,Prislistetillæg!$A$5:$C$61,3,FALSE))</f>
        <v>150.78973382819254</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SUM(J11:J18)</f>
        <v>12548.911999999998</v>
      </c>
      <c r="K27" s="48">
        <f>J27*(VLOOKUP(OpdateretÅrstal,Prislistetillæg!$A$5:$C$61,3,FALSE)/VLOOKUP(Produktionsår,Prislistetillæg!$A$5:$C$61,3,FALSE))</f>
        <v>20532.195098886838</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92.271411764705874</v>
      </c>
      <c r="K29" s="49">
        <f>J29*(VLOOKUP(OpdateretÅrstal,Prislistetillæg!$A$5:$C$61,3,FALSE)/VLOOKUP(Produktionsår,Prislistetillæg!$A$5:$C$61,3,FALSE))</f>
        <v>150.97202278593264</v>
      </c>
    </row>
    <row r="30" spans="1:11" ht="12.75" customHeight="1" x14ac:dyDescent="0.3"/>
    <row r="31" spans="1:11" ht="12.75" customHeight="1" x14ac:dyDescent="0.3"/>
    <row r="32" spans="1:11" ht="12.75" customHeight="1" x14ac:dyDescent="0.3">
      <c r="A32" t="s">
        <v>70</v>
      </c>
    </row>
    <row r="33" spans="1:4" x14ac:dyDescent="0.3">
      <c r="A33" t="s">
        <v>71</v>
      </c>
    </row>
    <row r="35" spans="1:4" x14ac:dyDescent="0.3">
      <c r="A35" t="s">
        <v>75</v>
      </c>
      <c r="D35" t="s">
        <v>84</v>
      </c>
    </row>
    <row r="36" spans="1:4" x14ac:dyDescent="0.3">
      <c r="D36" t="s">
        <v>85</v>
      </c>
    </row>
    <row r="37" spans="1:4" x14ac:dyDescent="0.3">
      <c r="D37" t="s">
        <v>86</v>
      </c>
    </row>
    <row r="39" spans="1:4" x14ac:dyDescent="0.3">
      <c r="A39" t="s">
        <v>79</v>
      </c>
      <c r="D39" t="s">
        <v>80</v>
      </c>
    </row>
    <row r="40" spans="1:4" x14ac:dyDescent="0.3">
      <c r="D40" t="s">
        <v>81</v>
      </c>
    </row>
    <row r="42" spans="1:4" x14ac:dyDescent="0.3">
      <c r="D42" t="s">
        <v>82</v>
      </c>
    </row>
    <row r="43" spans="1:4" x14ac:dyDescent="0.3">
      <c r="D43" t="s">
        <v>100</v>
      </c>
    </row>
  </sheetData>
  <mergeCells count="25">
    <mergeCell ref="C27:H27"/>
    <mergeCell ref="C28:H28"/>
    <mergeCell ref="C29:H29"/>
    <mergeCell ref="C22:H22"/>
    <mergeCell ref="C23:H23"/>
    <mergeCell ref="C24:H24"/>
    <mergeCell ref="C25:H25"/>
    <mergeCell ref="C26:H26"/>
    <mergeCell ref="C17:H17"/>
    <mergeCell ref="C18:H18"/>
    <mergeCell ref="C20:H20"/>
    <mergeCell ref="C21:H21"/>
    <mergeCell ref="C19:H19"/>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31">
    <tabColor rgb="FF0070C0"/>
  </sheetPr>
  <dimension ref="A1:K33"/>
  <sheetViews>
    <sheetView workbookViewId="0">
      <selection activeCell="N17" sqref="N17"/>
    </sheetView>
  </sheetViews>
  <sheetFormatPr defaultRowHeight="13.5" x14ac:dyDescent="0.3"/>
  <cols>
    <col min="9" max="10" width="10.4609375" bestFit="1" customWidth="1"/>
    <col min="11" max="11" width="12" bestFit="1" customWidth="1"/>
  </cols>
  <sheetData>
    <row r="1" spans="1:11" ht="14" thickBot="1" x14ac:dyDescent="0.35">
      <c r="A1" s="122" t="s">
        <v>116</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v>
      </c>
      <c r="D6" s="102" t="s">
        <v>32</v>
      </c>
      <c r="E6" s="103"/>
      <c r="F6" s="34">
        <v>2.4</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132.47999999999999</v>
      </c>
      <c r="K11" s="50">
        <f>J11*(VLOOKUP(OpdateretÅrstal,Prislistetillæg!$A$5:$C$61,3,FALSE)/VLOOKUP(Produktionsår,Prislistetillæg!$A$5:$C$61,3,FALSE))</f>
        <v>216.76024237802676</v>
      </c>
    </row>
    <row r="12" spans="1:11" ht="24.75" customHeight="1" x14ac:dyDescent="0.3">
      <c r="B12" s="26" t="s">
        <v>42</v>
      </c>
      <c r="C12" s="101" t="s">
        <v>43</v>
      </c>
      <c r="D12" s="101"/>
      <c r="E12" s="101"/>
      <c r="F12" s="101"/>
      <c r="G12" s="101"/>
      <c r="H12" s="101"/>
      <c r="I12" s="28">
        <v>7.33</v>
      </c>
      <c r="J12" s="38">
        <f>($C$6*$F$6)*I12</f>
        <v>35.183999999999997</v>
      </c>
      <c r="K12" s="50">
        <f>J12*(VLOOKUP(OpdateretÅrstal,Prislistetillæg!$A$5:$C$61,3,FALSE)/VLOOKUP(Produktionsår,Prislistetillæg!$A$5:$C$61,3,FALSE))</f>
        <v>57.567122341700582</v>
      </c>
    </row>
    <row r="13" spans="1:11" x14ac:dyDescent="0.3">
      <c r="B13" s="26" t="s">
        <v>44</v>
      </c>
      <c r="C13" s="101" t="s">
        <v>45</v>
      </c>
      <c r="D13" s="101"/>
      <c r="E13" s="101"/>
      <c r="F13" s="101"/>
      <c r="G13" s="101"/>
      <c r="H13" s="101"/>
      <c r="I13" s="28">
        <v>14.89</v>
      </c>
      <c r="J13" s="39">
        <f>($C$6*$F$6)*2*I13</f>
        <v>142.94399999999999</v>
      </c>
      <c r="K13" s="50">
        <f>J13*(VLOOKUP(OpdateretÅrstal,Prislistetillæg!$A$5:$C$61,3,FALSE)/VLOOKUP(Produktionsår,Prislistetillæg!$A$5:$C$61,3,FALSE))</f>
        <v>233.88116007310276</v>
      </c>
    </row>
    <row r="14" spans="1:11" ht="26.25" customHeight="1" x14ac:dyDescent="0.3">
      <c r="B14" s="26" t="s">
        <v>46</v>
      </c>
      <c r="C14" s="101" t="s">
        <v>47</v>
      </c>
      <c r="D14" s="101"/>
      <c r="E14" s="101"/>
      <c r="F14" s="101"/>
      <c r="G14" s="101"/>
      <c r="H14" s="101"/>
      <c r="I14" s="28">
        <v>9.36</v>
      </c>
      <c r="J14" s="39">
        <f>($C$6*$F$6)*2*I14</f>
        <v>89.855999999999995</v>
      </c>
      <c r="K14" s="50">
        <f>J14*(VLOOKUP(OpdateretÅrstal,Prislistetillæg!$A$5:$C$61,3,FALSE)/VLOOKUP(Produktionsår,Prislistetillæg!$A$5:$C$61,3,FALSE))</f>
        <v>147.01999048248771</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68.816000000000003</v>
      </c>
      <c r="K19" s="50">
        <f>J19*(VLOOKUP(OpdateretÅrstal,Prislistetillæg!$A$5:$C$61,3,FALSE)/VLOOKUP(Produktionsår,Prislistetillæg!$A$5:$C$61,3,FALSE))</f>
        <v>112.59490367969724</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578.24</v>
      </c>
      <c r="K27" s="48">
        <f>J27*(VLOOKUP(OpdateretÅrstal,Prislistetillæg!$A$5:$C$61,3,FALSE)/VLOOKUP(Produktionsår,Prislistetillæg!$A$5:$C$61,3,FALSE))</f>
        <v>946.1008646789719</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120.46666666666667</v>
      </c>
      <c r="K29" s="49">
        <f>J29*(VLOOKUP(OpdateretÅrstal,Prislistetillæg!$A$5:$C$61,3,FALSE)/VLOOKUP(Produktionsår,Prislistetillæg!$A$5:$C$61,3,FALSE))</f>
        <v>197.10434680811915</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32">
    <tabColor rgb="FF0070C0"/>
  </sheetPr>
  <dimension ref="A1:K33"/>
  <sheetViews>
    <sheetView workbookViewId="0">
      <selection activeCell="N17" sqref="N17"/>
    </sheetView>
  </sheetViews>
  <sheetFormatPr defaultRowHeight="13.5" x14ac:dyDescent="0.3"/>
  <cols>
    <col min="9" max="10" width="10.4609375" bestFit="1" customWidth="1"/>
    <col min="11" max="11" width="12" bestFit="1" customWidth="1"/>
  </cols>
  <sheetData>
    <row r="1" spans="1:11" ht="14" thickBot="1" x14ac:dyDescent="0.35">
      <c r="A1" s="122" t="s">
        <v>117</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v>
      </c>
      <c r="D6" s="102" t="s">
        <v>32</v>
      </c>
      <c r="E6" s="103"/>
      <c r="F6" s="34">
        <v>2.8</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154.56</v>
      </c>
      <c r="K11" s="50">
        <f>J11*(VLOOKUP(OpdateretÅrstal,Prislistetillæg!$A$5:$C$61,3,FALSE)/VLOOKUP(Produktionsår,Prislistetillæg!$A$5:$C$61,3,FALSE))</f>
        <v>252.88694944103122</v>
      </c>
    </row>
    <row r="12" spans="1:11" ht="24.75" customHeight="1" x14ac:dyDescent="0.3">
      <c r="B12" s="26" t="s">
        <v>42</v>
      </c>
      <c r="C12" s="101" t="s">
        <v>43</v>
      </c>
      <c r="D12" s="101"/>
      <c r="E12" s="101"/>
      <c r="F12" s="101"/>
      <c r="G12" s="101"/>
      <c r="H12" s="101"/>
      <c r="I12" s="28">
        <v>7.33</v>
      </c>
      <c r="J12" s="38">
        <f>($C$6*$F$6)*I12</f>
        <v>41.047999999999995</v>
      </c>
      <c r="K12" s="50">
        <f>J12*(VLOOKUP(OpdateretÅrstal,Prislistetillæg!$A$5:$C$61,3,FALSE)/VLOOKUP(Produktionsår,Prislistetillæg!$A$5:$C$61,3,FALSE))</f>
        <v>67.161642731984003</v>
      </c>
    </row>
    <row r="13" spans="1:11" x14ac:dyDescent="0.3">
      <c r="B13" s="26" t="s">
        <v>44</v>
      </c>
      <c r="C13" s="101" t="s">
        <v>45</v>
      </c>
      <c r="D13" s="101"/>
      <c r="E13" s="101"/>
      <c r="F13" s="101"/>
      <c r="G13" s="101"/>
      <c r="H13" s="101"/>
      <c r="I13" s="28">
        <v>14.89</v>
      </c>
      <c r="J13" s="39">
        <f>($C$6*$F$6)*2*I13</f>
        <v>166.768</v>
      </c>
      <c r="K13" s="50">
        <f>J13*(VLOOKUP(OpdateretÅrstal,Prislistetillæg!$A$5:$C$61,3,FALSE)/VLOOKUP(Produktionsår,Prislistetillæg!$A$5:$C$61,3,FALSE))</f>
        <v>272.86135341861996</v>
      </c>
    </row>
    <row r="14" spans="1:11" ht="26.25" customHeight="1" x14ac:dyDescent="0.3">
      <c r="B14" s="26" t="s">
        <v>46</v>
      </c>
      <c r="C14" s="101" t="s">
        <v>47</v>
      </c>
      <c r="D14" s="101"/>
      <c r="E14" s="101"/>
      <c r="F14" s="101"/>
      <c r="G14" s="101"/>
      <c r="H14" s="101"/>
      <c r="I14" s="28">
        <v>9.36</v>
      </c>
      <c r="J14" s="39">
        <f>($C$6*$F$6)*2*I14</f>
        <v>104.83199999999999</v>
      </c>
      <c r="K14" s="50">
        <f>J14*(VLOOKUP(OpdateretÅrstal,Prislistetillæg!$A$5:$C$61,3,FALSE)/VLOOKUP(Produktionsår,Prislistetillæg!$A$5:$C$61,3,FALSE))</f>
        <v>171.523322229569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11.48</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75.072000000000003</v>
      </c>
      <c r="K19" s="50">
        <f>J19*(VLOOKUP(OpdateretÅrstal,Prislistetillæg!$A$5:$C$61,3,FALSE)/VLOOKUP(Produktionsår,Prislistetillæg!$A$5:$C$61,3,FALSE))</f>
        <v>122.83080401421518</v>
      </c>
    </row>
    <row r="20" spans="1:11" ht="12.75" customHeight="1" x14ac:dyDescent="0.3">
      <c r="B20" s="26" t="s">
        <v>56</v>
      </c>
      <c r="C20" s="97" t="s">
        <v>57</v>
      </c>
      <c r="D20" s="97"/>
      <c r="E20" s="97"/>
      <c r="F20" s="97"/>
      <c r="G20" s="97"/>
      <c r="H20" s="97"/>
      <c r="I20" s="28">
        <v>1.93</v>
      </c>
      <c r="J20" s="51">
        <f>C6*I20</f>
        <v>3.86</v>
      </c>
      <c r="K20" s="50">
        <f>J20*(VLOOKUP(OpdateretÅrstal,Prislistetillæg!$A$5:$C$61,3,FALSE)/VLOOKUP(Produktionsår,Prislistetillæg!$A$5:$C$61,3,FALSE))</f>
        <v>6.3156290427172657</v>
      </c>
    </row>
    <row r="21" spans="1:11" ht="12.75" customHeight="1" x14ac:dyDescent="0.3">
      <c r="B21" s="26" t="s">
        <v>58</v>
      </c>
      <c r="C21" s="97" t="s">
        <v>59</v>
      </c>
      <c r="D21" s="97"/>
      <c r="E21" s="97"/>
      <c r="F21" s="97"/>
      <c r="G21" s="97"/>
      <c r="H21" s="97"/>
      <c r="I21" s="28">
        <v>3.87</v>
      </c>
      <c r="J21" s="31">
        <f>C6*2*I21</f>
        <v>15.48</v>
      </c>
      <c r="K21" s="50">
        <f>J21*(VLOOKUP(OpdateretÅrstal,Prislistetillæg!$A$5:$C$61,3,FALSE)/VLOOKUP(Produktionsår,Prislistetillæg!$A$5:$C$61,3,FALSE))</f>
        <v>25.327963103954215</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662.71999999999991</v>
      </c>
      <c r="K27" s="48">
        <f>J27*(VLOOKUP(OpdateretÅrstal,Prislistetillæg!$A$5:$C$61,3,FALSE)/VLOOKUP(Produktionsår,Prislistetillæg!$A$5:$C$61,3,FALSE))</f>
        <v>1084.3247873548148</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118.34285714285714</v>
      </c>
      <c r="K29" s="49">
        <f>J29*(VLOOKUP(OpdateretÅrstal,Prislistetillæg!$A$5:$C$61,3,FALSE)/VLOOKUP(Produktionsår,Prislistetillæg!$A$5:$C$61,3,FALSE))</f>
        <v>193.62942631335983</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33">
    <tabColor rgb="FF0070C0"/>
  </sheetPr>
  <dimension ref="A1:K33"/>
  <sheetViews>
    <sheetView workbookViewId="0">
      <selection activeCell="N17" sqref="N17"/>
    </sheetView>
  </sheetViews>
  <sheetFormatPr defaultRowHeight="13.5" x14ac:dyDescent="0.3"/>
  <cols>
    <col min="9" max="9" width="9.4609375" bestFit="1" customWidth="1"/>
    <col min="10" max="11" width="10.4609375" bestFit="1" customWidth="1"/>
  </cols>
  <sheetData>
    <row r="1" spans="1:11" ht="14" thickBot="1" x14ac:dyDescent="0.35">
      <c r="A1" s="122" t="s">
        <v>118</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v>
      </c>
      <c r="D6" s="102" t="s">
        <v>32</v>
      </c>
      <c r="E6" s="103"/>
      <c r="F6" s="34">
        <v>3.6</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198.72000000000003</v>
      </c>
      <c r="K11" s="50">
        <f>J11*(VLOOKUP(OpdateretÅrstal,Prislistetillæg!$A$5:$C$61,3,FALSE)/VLOOKUP(Produktionsår,Prislistetillæg!$A$5:$C$61,3,FALSE))</f>
        <v>325.1403635670402</v>
      </c>
    </row>
    <row r="12" spans="1:11" ht="25.5" customHeight="1" x14ac:dyDescent="0.3">
      <c r="B12" s="26" t="s">
        <v>42</v>
      </c>
      <c r="C12" s="101" t="s">
        <v>43</v>
      </c>
      <c r="D12" s="101"/>
      <c r="E12" s="101"/>
      <c r="F12" s="101"/>
      <c r="G12" s="101"/>
      <c r="H12" s="101"/>
      <c r="I12" s="28">
        <v>7.33</v>
      </c>
      <c r="J12" s="38">
        <f>($C$6*$F$6)*I12</f>
        <v>52.776000000000003</v>
      </c>
      <c r="K12" s="50">
        <f>J12*(VLOOKUP(OpdateretÅrstal,Prislistetillæg!$A$5:$C$61,3,FALSE)/VLOOKUP(Produktionsår,Prislistetillæg!$A$5:$C$61,3,FALSE))</f>
        <v>86.350683512550887</v>
      </c>
    </row>
    <row r="13" spans="1:11" x14ac:dyDescent="0.3">
      <c r="B13" s="26" t="s">
        <v>44</v>
      </c>
      <c r="C13" s="101" t="s">
        <v>45</v>
      </c>
      <c r="D13" s="101"/>
      <c r="E13" s="101"/>
      <c r="F13" s="101"/>
      <c r="G13" s="101"/>
      <c r="H13" s="101"/>
      <c r="I13" s="28">
        <v>14.89</v>
      </c>
      <c r="J13" s="39">
        <f>($C$6*$F$6)*2*I13</f>
        <v>214.41600000000003</v>
      </c>
      <c r="K13" s="50">
        <f>J13*(VLOOKUP(OpdateretÅrstal,Prislistetillæg!$A$5:$C$61,3,FALSE)/VLOOKUP(Produktionsår,Prislistetillæg!$A$5:$C$61,3,FALSE))</f>
        <v>350.82174010965423</v>
      </c>
    </row>
    <row r="14" spans="1:11" ht="26.25" customHeight="1" x14ac:dyDescent="0.3">
      <c r="B14" s="26" t="s">
        <v>46</v>
      </c>
      <c r="C14" s="101" t="s">
        <v>47</v>
      </c>
      <c r="D14" s="101"/>
      <c r="E14" s="101"/>
      <c r="F14" s="101"/>
      <c r="G14" s="101"/>
      <c r="H14" s="101"/>
      <c r="I14" s="28">
        <v>9.36</v>
      </c>
      <c r="J14" s="39">
        <f>($C$6*$F$6)*2*I14</f>
        <v>134.78399999999999</v>
      </c>
      <c r="K14" s="50">
        <f>J14*(VLOOKUP(OpdateretÅrstal,Prislistetillæg!$A$5:$C$61,3,FALSE)/VLOOKUP(Produktionsår,Prislistetillæg!$A$5:$C$61,3,FALSE))</f>
        <v>220.52998572373156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2*C6*I17</f>
        <v>11.48</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87.584000000000003</v>
      </c>
      <c r="K19" s="50">
        <f>J19*(VLOOKUP(OpdateretÅrstal,Prislistetillæg!$A$5:$C$61,3,FALSE)/VLOOKUP(Produktionsår,Prislistetillæg!$A$5:$C$61,3,FALSE))</f>
        <v>143.30260468325105</v>
      </c>
    </row>
    <row r="20" spans="1:11" x14ac:dyDescent="0.3">
      <c r="B20" s="26" t="s">
        <v>56</v>
      </c>
      <c r="C20" s="97" t="s">
        <v>57</v>
      </c>
      <c r="D20" s="97"/>
      <c r="E20" s="97"/>
      <c r="F20" s="97"/>
      <c r="G20" s="97"/>
      <c r="H20" s="97"/>
      <c r="I20" s="28">
        <v>2.91</v>
      </c>
      <c r="J20" s="51">
        <f>C6*I20</f>
        <v>5.82</v>
      </c>
      <c r="K20" s="50">
        <f>J20*(VLOOKUP(OpdateretÅrstal,Prislistetillæg!$A$5:$C$61,3,FALSE)/VLOOKUP(Produktionsår,Prislistetillæg!$A$5:$C$61,3,FALSE))</f>
        <v>9.5225287638897633</v>
      </c>
    </row>
    <row r="21" spans="1:11" x14ac:dyDescent="0.3">
      <c r="B21" s="26" t="s">
        <v>58</v>
      </c>
      <c r="C21" s="97" t="s">
        <v>59</v>
      </c>
      <c r="D21" s="97"/>
      <c r="E21" s="97"/>
      <c r="F21" s="97"/>
      <c r="G21" s="97"/>
      <c r="H21" s="97"/>
      <c r="I21" s="28">
        <v>5.79</v>
      </c>
      <c r="J21" s="31">
        <f>C6*2*I21</f>
        <v>23.16</v>
      </c>
      <c r="K21" s="50">
        <f>J21*(VLOOKUP(OpdateretÅrstal,Prislistetillæg!$A$5:$C$61,3,FALSE)/VLOOKUP(Produktionsår,Prislistetillæg!$A$5:$C$61,3,FALSE))</f>
        <v>37.893774256303594</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808.72</v>
      </c>
      <c r="K27" s="48">
        <f>J27*(VLOOKUP(OpdateretÅrstal,Prislistetillæg!$A$5:$C$61,3,FALSE)/VLOOKUP(Produktionsår,Prislistetillæg!$A$5:$C$61,3,FALSE))</f>
        <v>1323.2060931156236</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112.32222222222222</v>
      </c>
      <c r="K29" s="49">
        <f>J29*(VLOOKUP(OpdateretÅrstal,Prislistetillæg!$A$5:$C$61,3,FALSE)/VLOOKUP(Produktionsår,Prislistetillæg!$A$5:$C$61,3,FALSE))</f>
        <v>183.7786240438366</v>
      </c>
    </row>
    <row r="32" spans="1:11" x14ac:dyDescent="0.3">
      <c r="A32" t="s">
        <v>70</v>
      </c>
    </row>
    <row r="33" spans="1:1" x14ac:dyDescent="0.3">
      <c r="A33" t="s">
        <v>71</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34">
    <tabColor rgb="FF0070C0"/>
  </sheetPr>
  <dimension ref="A1:K4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22" t="s">
        <v>119</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v>
      </c>
      <c r="D6" s="102" t="s">
        <v>32</v>
      </c>
      <c r="E6" s="103"/>
      <c r="F6" s="34">
        <v>5</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276</v>
      </c>
      <c r="K11" s="50">
        <f>J11*(VLOOKUP(OpdateretÅrstal,Prislistetillæg!$A$5:$C$61,3,FALSE)/VLOOKUP(Produktionsår,Prislistetillæg!$A$5:$C$61,3,FALSE))</f>
        <v>451.58383828755575</v>
      </c>
    </row>
    <row r="12" spans="1:11" ht="24.75" customHeight="1" x14ac:dyDescent="0.3">
      <c r="B12" s="26" t="s">
        <v>42</v>
      </c>
      <c r="C12" s="101" t="s">
        <v>43</v>
      </c>
      <c r="D12" s="101"/>
      <c r="E12" s="101"/>
      <c r="F12" s="101"/>
      <c r="G12" s="101"/>
      <c r="H12" s="101"/>
      <c r="I12" s="28">
        <v>7.33</v>
      </c>
      <c r="J12" s="38">
        <f>($C$6*$F$6)*I12</f>
        <v>73.3</v>
      </c>
      <c r="K12" s="50">
        <f>J12*(VLOOKUP(OpdateretÅrstal,Prislistetillæg!$A$5:$C$61,3,FALSE)/VLOOKUP(Produktionsår,Prislistetillæg!$A$5:$C$61,3,FALSE))</f>
        <v>119.93150487854288</v>
      </c>
    </row>
    <row r="13" spans="1:11" x14ac:dyDescent="0.3">
      <c r="B13" s="26" t="s">
        <v>44</v>
      </c>
      <c r="C13" s="101" t="s">
        <v>45</v>
      </c>
      <c r="D13" s="101"/>
      <c r="E13" s="101"/>
      <c r="F13" s="101"/>
      <c r="G13" s="101"/>
      <c r="H13" s="101"/>
      <c r="I13" s="28">
        <v>14.89</v>
      </c>
      <c r="J13" s="39">
        <f>($C$6*$F$6)*2*I13</f>
        <v>297.8</v>
      </c>
      <c r="K13" s="50">
        <f>J13*(VLOOKUP(OpdateretÅrstal,Prislistetillæg!$A$5:$C$61,3,FALSE)/VLOOKUP(Produktionsår,Prislistetillæg!$A$5:$C$61,3,FALSE))</f>
        <v>487.25241681896415</v>
      </c>
    </row>
    <row r="14" spans="1:11" ht="25.5" customHeight="1" x14ac:dyDescent="0.3">
      <c r="B14" s="26" t="s">
        <v>46</v>
      </c>
      <c r="C14" s="101" t="s">
        <v>47</v>
      </c>
      <c r="D14" s="101"/>
      <c r="E14" s="101"/>
      <c r="F14" s="101"/>
      <c r="G14" s="101"/>
      <c r="H14" s="101"/>
      <c r="I14" s="28">
        <v>9.36</v>
      </c>
      <c r="J14" s="39">
        <f>($C$6*$F$6)*2*I14</f>
        <v>187.2</v>
      </c>
      <c r="K14" s="50">
        <f>J14*(VLOOKUP(OpdateretÅrstal,Prislistetillæg!$A$5:$C$61,3,FALSE)/VLOOKUP(Produktionsår,Prislistetillæg!$A$5:$C$61,3,FALSE))</f>
        <v>306.29164683851604</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v>
      </c>
      <c r="K17" s="50">
        <f>J17*(VLOOKUP(OpdateretÅrstal,Prislistetillæg!$A$5:$C$61,3,FALSE)/VLOOKUP(Produktionsår,Prislistetillæg!$A$5:$C$61,3,FALSE))</f>
        <v>37.566539590877831</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4.75" customHeight="1" x14ac:dyDescent="0.3">
      <c r="B19" s="26" t="s">
        <v>54</v>
      </c>
      <c r="C19" s="97" t="s">
        <v>55</v>
      </c>
      <c r="D19" s="97"/>
      <c r="E19" s="97"/>
      <c r="F19" s="97"/>
      <c r="G19" s="97"/>
      <c r="H19" s="97"/>
      <c r="I19" s="28">
        <v>3.91</v>
      </c>
      <c r="J19" s="52">
        <f>2*(2*(C6+F6))*I19</f>
        <v>109.48</v>
      </c>
      <c r="K19" s="50">
        <f>J19*(VLOOKUP(OpdateretÅrstal,Prislistetillæg!$A$5:$C$61,3,FALSE)/VLOOKUP(Produktionsår,Prislistetillæg!$A$5:$C$61,3,FALSE))</f>
        <v>179.12825585406378</v>
      </c>
    </row>
    <row r="20" spans="1:11" x14ac:dyDescent="0.3">
      <c r="B20" s="26" t="s">
        <v>56</v>
      </c>
      <c r="C20" s="97" t="s">
        <v>57</v>
      </c>
      <c r="D20" s="97"/>
      <c r="E20" s="97"/>
      <c r="F20" s="97"/>
      <c r="G20" s="97"/>
      <c r="H20" s="97"/>
      <c r="I20" s="28">
        <v>5.32</v>
      </c>
      <c r="J20" s="51">
        <f>C6*I20</f>
        <v>10.64</v>
      </c>
      <c r="K20" s="50">
        <f>J20*(VLOOKUP(OpdateretÅrstal,Prislistetillæg!$A$5:$C$61,3,FALSE)/VLOOKUP(Produktionsår,Prislistetillæg!$A$5:$C$61,3,FALSE))</f>
        <v>17.4088842006507</v>
      </c>
    </row>
    <row r="21" spans="1:11" x14ac:dyDescent="0.3">
      <c r="B21" s="26" t="s">
        <v>58</v>
      </c>
      <c r="C21" s="97" t="s">
        <v>59</v>
      </c>
      <c r="D21" s="97"/>
      <c r="E21" s="97"/>
      <c r="F21" s="97"/>
      <c r="G21" s="97"/>
      <c r="H21" s="97"/>
      <c r="I21" s="28">
        <v>10.63</v>
      </c>
      <c r="J21" s="31">
        <f>C6*2*I21</f>
        <v>42.52</v>
      </c>
      <c r="K21" s="50">
        <f>J21*(VLOOKUP(OpdateretÅrstal,Prislistetillæg!$A$5:$C$61,3,FALSE)/VLOOKUP(Produktionsår,Prislistetillæg!$A$5:$C$61,3,FALSE))</f>
        <v>69.570089869517659</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(2*I25)*1</f>
        <v>11.52</v>
      </c>
      <c r="K25" s="50">
        <f>J25*(VLOOKUP(OpdateretÅrstal,Prislistetillæg!$A$5:$C$61,3,FALSE)/VLOOKUP(Produktionsår,Prislistetillæg!$A$5:$C$61,3,FALSE))</f>
        <v>18.848716728524067</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1075.6999999999998</v>
      </c>
      <c r="K27" s="48">
        <f>J27*(VLOOKUP(OpdateretÅrstal,Prislistetillæg!$A$5:$C$61,3,FALSE)/VLOOKUP(Produktionsår,Prislistetillæg!$A$5:$C$61,3,FALSE))</f>
        <v>1760.031647992477</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107.56999999999998</v>
      </c>
      <c r="K29" s="49">
        <f>J29*(VLOOKUP(OpdateretÅrstal,Prislistetillæg!$A$5:$C$61,3,FALSE)/VLOOKUP(Produktionsår,Prislistetillæg!$A$5:$C$61,3,FALSE))</f>
        <v>176.00316479924768</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35">
    <tabColor rgb="FF0070C0"/>
  </sheetPr>
  <dimension ref="A1:K4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22" t="s">
        <v>120</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v>
      </c>
      <c r="D6" s="102" t="s">
        <v>32</v>
      </c>
      <c r="E6" s="103"/>
      <c r="F6" s="34">
        <v>6.8</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375.36</v>
      </c>
      <c r="K11" s="50">
        <f>J11*(VLOOKUP(OpdateretÅrstal,Prislistetillæg!$A$5:$C$61,3,FALSE)/VLOOKUP(Produktionsår,Prislistetillæg!$A$5:$C$61,3,FALSE))</f>
        <v>614.15402007107582</v>
      </c>
    </row>
    <row r="12" spans="1:11" ht="25.5" customHeight="1" x14ac:dyDescent="0.3">
      <c r="B12" s="26" t="s">
        <v>42</v>
      </c>
      <c r="C12" s="101" t="s">
        <v>43</v>
      </c>
      <c r="D12" s="101"/>
      <c r="E12" s="101"/>
      <c r="F12" s="101"/>
      <c r="G12" s="101"/>
      <c r="H12" s="101"/>
      <c r="I12" s="28">
        <v>7.33</v>
      </c>
      <c r="J12" s="38">
        <f>($C$6*$F$6)*I12</f>
        <v>99.688000000000002</v>
      </c>
      <c r="K12" s="50">
        <f>J12*(VLOOKUP(OpdateretÅrstal,Prislistetillæg!$A$5:$C$61,3,FALSE)/VLOOKUP(Produktionsår,Prislistetillæg!$A$5:$C$61,3,FALSE))</f>
        <v>163.10684663481834</v>
      </c>
    </row>
    <row r="13" spans="1:11" x14ac:dyDescent="0.3">
      <c r="B13" s="26" t="s">
        <v>44</v>
      </c>
      <c r="C13" s="101" t="s">
        <v>45</v>
      </c>
      <c r="D13" s="101"/>
      <c r="E13" s="101"/>
      <c r="F13" s="101"/>
      <c r="G13" s="101"/>
      <c r="H13" s="101"/>
      <c r="I13" s="28">
        <v>14.89</v>
      </c>
      <c r="J13" s="39">
        <f>($C$6*$F$6)*2*I13</f>
        <v>405.00799999999998</v>
      </c>
      <c r="K13" s="50">
        <f>J13*(VLOOKUP(OpdateretÅrstal,Prislistetillæg!$A$5:$C$61,3,FALSE)/VLOOKUP(Produktionsår,Prislistetillæg!$A$5:$C$61,3,FALSE))</f>
        <v>662.66328687379121</v>
      </c>
    </row>
    <row r="14" spans="1:11" ht="26.25" customHeight="1" x14ac:dyDescent="0.3">
      <c r="B14" s="26" t="s">
        <v>46</v>
      </c>
      <c r="C14" s="101" t="s">
        <v>47</v>
      </c>
      <c r="D14" s="101"/>
      <c r="E14" s="101"/>
      <c r="F14" s="101"/>
      <c r="G14" s="101"/>
      <c r="H14" s="101"/>
      <c r="I14" s="28">
        <v>9.36</v>
      </c>
      <c r="J14" s="39">
        <f>($C$6*$F$6)*2*I14</f>
        <v>254.59199999999998</v>
      </c>
      <c r="K14" s="50">
        <f>J14*(VLOOKUP(OpdateretÅrstal,Prislistetillæg!$A$5:$C$61,3,FALSE)/VLOOKUP(Produktionsår,Prislistetillæg!$A$5:$C$61,3,FALSE))</f>
        <v>416.55663970038182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v>
      </c>
      <c r="K17" s="50">
        <f>J17*(VLOOKUP(OpdateretÅrstal,Prislistetillæg!$A$5:$C$61,3,FALSE)/VLOOKUP(Produktionsår,Prislistetillæg!$A$5:$C$61,3,FALSE))</f>
        <v>37.566539590877831</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4.75" customHeight="1" x14ac:dyDescent="0.3">
      <c r="B19" s="26" t="s">
        <v>54</v>
      </c>
      <c r="C19" s="97" t="s">
        <v>55</v>
      </c>
      <c r="D19" s="97"/>
      <c r="E19" s="97"/>
      <c r="F19" s="97"/>
      <c r="G19" s="97"/>
      <c r="H19" s="97"/>
      <c r="I19" s="28">
        <v>3.91</v>
      </c>
      <c r="J19" s="52">
        <f>2*(2*(C6+F6))*I19</f>
        <v>137.63200000000001</v>
      </c>
      <c r="K19" s="50">
        <f>J19*(VLOOKUP(OpdateretÅrstal,Prislistetillæg!$A$5:$C$61,3,FALSE)/VLOOKUP(Produktionsår,Prislistetillæg!$A$5:$C$61,3,FALSE))</f>
        <v>225.18980735939448</v>
      </c>
    </row>
    <row r="20" spans="1:11" x14ac:dyDescent="0.3">
      <c r="B20" s="26" t="s">
        <v>56</v>
      </c>
      <c r="C20" s="97" t="s">
        <v>57</v>
      </c>
      <c r="D20" s="97"/>
      <c r="E20" s="97"/>
      <c r="F20" s="97"/>
      <c r="G20" s="97"/>
      <c r="H20" s="97"/>
      <c r="I20" s="28">
        <v>8.2200000000000006</v>
      </c>
      <c r="J20" s="51">
        <f>C6*I20</f>
        <v>16.440000000000001</v>
      </c>
      <c r="K20" s="50">
        <f>J20*(VLOOKUP(OpdateretÅrstal,Prislistetillæg!$A$5:$C$61,3,FALSE)/VLOOKUP(Produktionsår,Prislistetillæg!$A$5:$C$61,3,FALSE))</f>
        <v>26.898689497997889</v>
      </c>
    </row>
    <row r="21" spans="1:11" x14ac:dyDescent="0.3">
      <c r="B21" s="26" t="s">
        <v>58</v>
      </c>
      <c r="C21" s="97" t="s">
        <v>59</v>
      </c>
      <c r="D21" s="97"/>
      <c r="E21" s="97"/>
      <c r="F21" s="97"/>
      <c r="G21" s="97"/>
      <c r="H21" s="97"/>
      <c r="I21" s="28">
        <v>16.43</v>
      </c>
      <c r="J21" s="31">
        <f>C6*2*I21</f>
        <v>65.72</v>
      </c>
      <c r="K21" s="50">
        <f>J21*(VLOOKUP(OpdateretÅrstal,Prislistetillæg!$A$5:$C$61,3,FALSE)/VLOOKUP(Produktionsår,Prislistetillæg!$A$5:$C$61,3,FALSE))</f>
        <v>107.52931105890639</v>
      </c>
    </row>
    <row r="22" spans="1:11" x14ac:dyDescent="0.3">
      <c r="B22" s="26" t="s">
        <v>60</v>
      </c>
      <c r="C22" s="110" t="s">
        <v>61</v>
      </c>
      <c r="D22" s="111"/>
      <c r="E22" s="111"/>
      <c r="F22" s="111"/>
      <c r="G22" s="111"/>
      <c r="H22" s="112"/>
      <c r="I22" s="28">
        <v>32.729999999999997</v>
      </c>
      <c r="J22" s="38">
        <f>(2*I22)*3.2</f>
        <v>209.47199999999998</v>
      </c>
      <c r="K22" s="50">
        <f>J22*(VLOOKUP(OpdateretÅrstal,Prislistetillæg!$A$5:$C$61,3,FALSE)/VLOOKUP(Produktionsår,Prislistetillæg!$A$5:$C$61,3,FALSE))</f>
        <v>342.73249918032923</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22.479199999999999</v>
      </c>
      <c r="K24" s="50">
        <f>J24*(VLOOKUP(OpdateretÅrstal,Prislistetillæg!$A$5:$C$61,3,FALSE)/VLOOKUP(Produktionsår,Prislistetillæg!$A$5:$C$61,3,FALSE))</f>
        <v>36.779867455194285</v>
      </c>
    </row>
    <row r="25" spans="1:11" ht="24.75" customHeight="1" x14ac:dyDescent="0.3">
      <c r="B25" s="26" t="s">
        <v>66</v>
      </c>
      <c r="C25" s="110" t="s">
        <v>67</v>
      </c>
      <c r="D25" s="111"/>
      <c r="E25" s="111"/>
      <c r="F25" s="111"/>
      <c r="G25" s="111"/>
      <c r="H25" s="112"/>
      <c r="I25" s="28">
        <v>5.76</v>
      </c>
      <c r="J25" s="38">
        <f>(4*I25)*1</f>
        <v>23.04</v>
      </c>
      <c r="K25" s="50">
        <f>J25*(VLOOKUP(OpdateretÅrstal,Prislistetillæg!$A$5:$C$61,3,FALSE)/VLOOKUP(Produktionsår,Prislistetillæg!$A$5:$C$61,3,FALSE))</f>
        <v>37.697433457048135</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1404.2000000000003</v>
      </c>
      <c r="K27" s="48">
        <f>J27*(VLOOKUP(OpdateretÅrstal,Prislistetillæg!$A$5:$C$61,3,FALSE)/VLOOKUP(Produktionsår,Prislistetillæg!$A$5:$C$61,3,FALSE))</f>
        <v>2297.5145859542968</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103.25000000000003</v>
      </c>
      <c r="K29" s="49">
        <f>J29*(VLOOKUP(OpdateretÅrstal,Prislistetillæg!$A$5:$C$61,3,FALSE)/VLOOKUP(Produktionsår,Prislistetillæg!$A$5:$C$61,3,FALSE))</f>
        <v>168.93489602605126</v>
      </c>
    </row>
    <row r="32" spans="1:11" x14ac:dyDescent="0.3">
      <c r="A32" t="s">
        <v>70</v>
      </c>
    </row>
    <row r="33" spans="1:4" x14ac:dyDescent="0.3">
      <c r="A33" t="s">
        <v>71</v>
      </c>
    </row>
    <row r="36" spans="1:4" x14ac:dyDescent="0.3">
      <c r="A36" t="s">
        <v>75</v>
      </c>
      <c r="D36" t="s">
        <v>84</v>
      </c>
    </row>
    <row r="37" spans="1:4" x14ac:dyDescent="0.3">
      <c r="D37" t="s">
        <v>85</v>
      </c>
    </row>
    <row r="38" spans="1:4" x14ac:dyDescent="0.3">
      <c r="D38" t="s">
        <v>86</v>
      </c>
    </row>
    <row r="40" spans="1:4" x14ac:dyDescent="0.3">
      <c r="A40" t="s">
        <v>79</v>
      </c>
      <c r="D40" t="s">
        <v>80</v>
      </c>
    </row>
    <row r="41" spans="1:4" x14ac:dyDescent="0.3">
      <c r="D41" t="s">
        <v>81</v>
      </c>
    </row>
    <row r="43" spans="1:4" x14ac:dyDescent="0.3">
      <c r="D43" t="s">
        <v>87</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36">
    <tabColor rgb="FF0070C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22" t="s">
        <v>121</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5</v>
      </c>
      <c r="D6" s="102" t="s">
        <v>32</v>
      </c>
      <c r="E6" s="103"/>
      <c r="F6" s="34">
        <v>2.4</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331.20000000000005</v>
      </c>
      <c r="K11" s="50">
        <f>J11*(VLOOKUP(OpdateretÅrstal,Prislistetillæg!$A$5:$C$61,3,FALSE)/VLOOKUP(Produktionsår,Prislistetillæg!$A$5:$C$61,3,FALSE))</f>
        <v>541.90060594506701</v>
      </c>
    </row>
    <row r="12" spans="1:11" ht="24.75" customHeight="1" x14ac:dyDescent="0.3">
      <c r="B12" s="26" t="s">
        <v>42</v>
      </c>
      <c r="C12" s="101" t="s">
        <v>43</v>
      </c>
      <c r="D12" s="101"/>
      <c r="E12" s="101"/>
      <c r="F12" s="101"/>
      <c r="G12" s="101"/>
      <c r="H12" s="101"/>
      <c r="I12" s="28">
        <v>7.33</v>
      </c>
      <c r="J12" s="38">
        <f>($C$6*$F$6)*I12</f>
        <v>87.960000000000008</v>
      </c>
      <c r="K12" s="50">
        <f>J12*(VLOOKUP(OpdateretÅrstal,Prislistetillæg!$A$5:$C$61,3,FALSE)/VLOOKUP(Produktionsår,Prislistetillæg!$A$5:$C$61,3,FALSE))</f>
        <v>143.91780585425147</v>
      </c>
    </row>
    <row r="13" spans="1:11" x14ac:dyDescent="0.3">
      <c r="B13" s="26" t="s">
        <v>44</v>
      </c>
      <c r="C13" s="101" t="s">
        <v>45</v>
      </c>
      <c r="D13" s="101"/>
      <c r="E13" s="101"/>
      <c r="F13" s="101"/>
      <c r="G13" s="101"/>
      <c r="H13" s="101"/>
      <c r="I13" s="28">
        <v>14.89</v>
      </c>
      <c r="J13" s="39">
        <f>($C$6*$F$6)*2*I13</f>
        <v>357.36</v>
      </c>
      <c r="K13" s="50">
        <f>J13*(VLOOKUP(OpdateretÅrstal,Prislistetillæg!$A$5:$C$61,3,FALSE)/VLOOKUP(Produktionsår,Prislistetillæg!$A$5:$C$61,3,FALSE))</f>
        <v>584.70290018275705</v>
      </c>
    </row>
    <row r="14" spans="1:11" ht="26.25" customHeight="1" x14ac:dyDescent="0.3">
      <c r="B14" s="26" t="s">
        <v>46</v>
      </c>
      <c r="C14" s="101" t="s">
        <v>47</v>
      </c>
      <c r="D14" s="101"/>
      <c r="E14" s="101"/>
      <c r="F14" s="101"/>
      <c r="G14" s="101"/>
      <c r="H14" s="101"/>
      <c r="I14" s="28">
        <v>9.36</v>
      </c>
      <c r="J14" s="39">
        <f>($C$6*$F$6)*2*I14</f>
        <v>224.64</v>
      </c>
      <c r="K14" s="50">
        <f>J14*(VLOOKUP(OpdateretÅrstal,Prislistetillæg!$A$5:$C$61,3,FALSE)/VLOOKUP(Produktionsår,Prislistetillæg!$A$5:$C$61,3,FALSE))</f>
        <v>367.5499762062193</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115.736</v>
      </c>
      <c r="K19" s="50">
        <f>J19*(VLOOKUP(OpdateretÅrstal,Prislistetillæg!$A$5:$C$61,3,FALSE)/VLOOKUP(Produktionsår,Prislistetillæg!$A$5:$C$61,3,FALSE))</f>
        <v>189.36415618858172</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1225.8560000000002</v>
      </c>
      <c r="K27" s="48">
        <f>J27*(VLOOKUP(OpdateretÅrstal,Prislistetillæg!$A$5:$C$61,3,FALSE)/VLOOKUP(Produktionsår,Prislistetillæg!$A$5:$C$61,3,FALSE))</f>
        <v>2005.7128901008336</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102.15466666666669</v>
      </c>
      <c r="K29" s="49">
        <f>J29*(VLOOKUP(OpdateretÅrstal,Prislistetillæg!$A$5:$C$61,3,FALSE)/VLOOKUP(Produktionsår,Prislistetillæg!$A$5:$C$61,3,FALSE))</f>
        <v>167.14274084173613</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37">
    <tabColor rgb="FF0070C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22" t="s">
        <v>122</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5</v>
      </c>
      <c r="D6" s="102" t="s">
        <v>32</v>
      </c>
      <c r="E6" s="103"/>
      <c r="F6" s="34">
        <v>2.8</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386.40000000000003</v>
      </c>
      <c r="K11" s="50">
        <f>J11*(VLOOKUP(OpdateretÅrstal,Prislistetillæg!$A$5:$C$61,3,FALSE)/VLOOKUP(Produktionsår,Prislistetillæg!$A$5:$C$61,3,FALSE))</f>
        <v>632.21737360257816</v>
      </c>
    </row>
    <row r="12" spans="1:11" ht="24.75" customHeight="1" x14ac:dyDescent="0.3">
      <c r="B12" s="26" t="s">
        <v>42</v>
      </c>
      <c r="C12" s="101" t="s">
        <v>43</v>
      </c>
      <c r="D12" s="101"/>
      <c r="E12" s="101"/>
      <c r="F12" s="101"/>
      <c r="G12" s="101"/>
      <c r="H12" s="101"/>
      <c r="I12" s="28">
        <v>7.33</v>
      </c>
      <c r="J12" s="38">
        <f>($C$6*$F$6)*I12</f>
        <v>102.62</v>
      </c>
      <c r="K12" s="50">
        <f>J12*(VLOOKUP(OpdateretÅrstal,Prislistetillæg!$A$5:$C$61,3,FALSE)/VLOOKUP(Produktionsår,Prislistetillæg!$A$5:$C$61,3,FALSE))</f>
        <v>167.90410682996006</v>
      </c>
    </row>
    <row r="13" spans="1:11" x14ac:dyDescent="0.3">
      <c r="B13" s="26" t="s">
        <v>44</v>
      </c>
      <c r="C13" s="101" t="s">
        <v>45</v>
      </c>
      <c r="D13" s="101"/>
      <c r="E13" s="101"/>
      <c r="F13" s="101"/>
      <c r="G13" s="101"/>
      <c r="H13" s="101"/>
      <c r="I13" s="28">
        <v>14.89</v>
      </c>
      <c r="J13" s="39">
        <f>($C$6*$F$6)*2*I13</f>
        <v>416.92</v>
      </c>
      <c r="K13" s="50">
        <f>J13*(VLOOKUP(OpdateretÅrstal,Prislistetillæg!$A$5:$C$61,3,FALSE)/VLOOKUP(Produktionsår,Prislistetillæg!$A$5:$C$61,3,FALSE))</f>
        <v>682.15338354654989</v>
      </c>
    </row>
    <row r="14" spans="1:11" ht="26.25" customHeight="1" x14ac:dyDescent="0.3">
      <c r="B14" s="26" t="s">
        <v>46</v>
      </c>
      <c r="C14" s="101" t="s">
        <v>47</v>
      </c>
      <c r="D14" s="101"/>
      <c r="E14" s="101"/>
      <c r="F14" s="101"/>
      <c r="G14" s="101"/>
      <c r="H14" s="101"/>
      <c r="I14" s="28">
        <v>9.36</v>
      </c>
      <c r="J14" s="39">
        <f>($C$6*$F$6)*2*I14</f>
        <v>262.08</v>
      </c>
      <c r="K14" s="50">
        <f>J14*(VLOOKUP(OpdateretÅrstal,Prislistetillæg!$A$5:$C$61,3,FALSE)/VLOOKUP(Produktionsår,Prislistetillæg!$A$5:$C$61,3,FALSE))</f>
        <v>428.8083055739225</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28.700000000000003</v>
      </c>
      <c r="K17" s="50">
        <f>J17*(VLOOKUP(OpdateretÅrstal,Prislistetillæg!$A$5:$C$61,3,FALSE)/VLOOKUP(Produktionsår,Prislistetillæg!$A$5:$C$61,3,FALSE))</f>
        <v>46.958174488597287</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121.992</v>
      </c>
      <c r="K19" s="50">
        <f>J19*(VLOOKUP(OpdateretÅrstal,Prislistetillæg!$A$5:$C$61,3,FALSE)/VLOOKUP(Produktionsår,Prislistetillæg!$A$5:$C$61,3,FALSE))</f>
        <v>199.60005652309965</v>
      </c>
    </row>
    <row r="20" spans="1:11" ht="12.75" customHeight="1" x14ac:dyDescent="0.3">
      <c r="B20" s="26" t="s">
        <v>56</v>
      </c>
      <c r="C20" s="97" t="s">
        <v>57</v>
      </c>
      <c r="D20" s="97"/>
      <c r="E20" s="97"/>
      <c r="F20" s="97"/>
      <c r="G20" s="97"/>
      <c r="H20" s="97"/>
      <c r="I20" s="28">
        <v>1.93</v>
      </c>
      <c r="J20" s="51">
        <f>C6*I20</f>
        <v>9.65</v>
      </c>
      <c r="K20" s="50">
        <f>J20*(VLOOKUP(OpdateretÅrstal,Prislistetillæg!$A$5:$C$61,3,FALSE)/VLOOKUP(Produktionsår,Prislistetillæg!$A$5:$C$61,3,FALSE))</f>
        <v>15.789072606793164</v>
      </c>
    </row>
    <row r="21" spans="1:11" ht="12.75" customHeight="1" x14ac:dyDescent="0.3">
      <c r="B21" s="26" t="s">
        <v>58</v>
      </c>
      <c r="C21" s="97" t="s">
        <v>59</v>
      </c>
      <c r="D21" s="97"/>
      <c r="E21" s="97"/>
      <c r="F21" s="97"/>
      <c r="G21" s="97"/>
      <c r="H21" s="97"/>
      <c r="I21" s="28">
        <v>3.87</v>
      </c>
      <c r="J21" s="31">
        <f>C6*2*I21</f>
        <v>38.700000000000003</v>
      </c>
      <c r="K21" s="50">
        <f>J21*(VLOOKUP(OpdateretÅrstal,Prislistetillæg!$A$5:$C$61,3,FALSE)/VLOOKUP(Produktionsår,Prislistetillæg!$A$5:$C$61,3,FALSE))</f>
        <v>63.319907759885538</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1427.672</v>
      </c>
      <c r="K27" s="48">
        <f>J27*(VLOOKUP(OpdateretÅrstal,Prislistetillæg!$A$5:$C$61,3,FALSE)/VLOOKUP(Produktionsår,Prislistetillæg!$A$5:$C$61,3,FALSE))</f>
        <v>2335.9188462886641</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101.97657142857143</v>
      </c>
      <c r="K29" s="49">
        <f>J29*(VLOOKUP(OpdateretÅrstal,Prislistetillæg!$A$5:$C$61,3,FALSE)/VLOOKUP(Produktionsår,Prislistetillæg!$A$5:$C$61,3,FALSE))</f>
        <v>166.85134616347602</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38">
    <tabColor rgb="FF0070C0"/>
  </sheetPr>
  <dimension ref="A1:K3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22" t="s">
        <v>123</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5</v>
      </c>
      <c r="D6" s="102" t="s">
        <v>32</v>
      </c>
      <c r="E6" s="103"/>
      <c r="F6" s="34">
        <v>3.6</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496.8</v>
      </c>
      <c r="K11" s="50">
        <f>J11*(VLOOKUP(OpdateretÅrstal,Prislistetillæg!$A$5:$C$61,3,FALSE)/VLOOKUP(Produktionsår,Prislistetillæg!$A$5:$C$61,3,FALSE))</f>
        <v>812.85090891760035</v>
      </c>
    </row>
    <row r="12" spans="1:11" ht="26.25" customHeight="1" x14ac:dyDescent="0.3">
      <c r="B12" s="26" t="s">
        <v>42</v>
      </c>
      <c r="C12" s="101" t="s">
        <v>43</v>
      </c>
      <c r="D12" s="101"/>
      <c r="E12" s="101"/>
      <c r="F12" s="101"/>
      <c r="G12" s="101"/>
      <c r="H12" s="101"/>
      <c r="I12" s="28">
        <v>7.33</v>
      </c>
      <c r="J12" s="38">
        <f>($C$6*$F$6)*I12</f>
        <v>131.94</v>
      </c>
      <c r="K12" s="50">
        <f>J12*(VLOOKUP(OpdateretÅrstal,Prislistetillæg!$A$5:$C$61,3,FALSE)/VLOOKUP(Produktionsår,Prislistetillæg!$A$5:$C$61,3,FALSE))</f>
        <v>215.8767087813772</v>
      </c>
    </row>
    <row r="13" spans="1:11" x14ac:dyDescent="0.3">
      <c r="B13" s="26" t="s">
        <v>44</v>
      </c>
      <c r="C13" s="101" t="s">
        <v>45</v>
      </c>
      <c r="D13" s="101"/>
      <c r="E13" s="101"/>
      <c r="F13" s="101"/>
      <c r="G13" s="101"/>
      <c r="H13" s="101"/>
      <c r="I13" s="28">
        <v>14.89</v>
      </c>
      <c r="J13" s="39">
        <f>($C$6*$F$6)*2*I13</f>
        <v>536.04</v>
      </c>
      <c r="K13" s="50">
        <f>J13*(VLOOKUP(OpdateretÅrstal,Prislistetillæg!$A$5:$C$61,3,FALSE)/VLOOKUP(Produktionsår,Prislistetillæg!$A$5:$C$61,3,FALSE))</f>
        <v>877.05435027413546</v>
      </c>
    </row>
    <row r="14" spans="1:11" ht="25.5" customHeight="1" x14ac:dyDescent="0.3">
      <c r="B14" s="26" t="s">
        <v>46</v>
      </c>
      <c r="C14" s="101" t="s">
        <v>47</v>
      </c>
      <c r="D14" s="101"/>
      <c r="E14" s="101"/>
      <c r="F14" s="101"/>
      <c r="G14" s="101"/>
      <c r="H14" s="101"/>
      <c r="I14" s="28">
        <v>9.36</v>
      </c>
      <c r="J14" s="39">
        <f>($C$6*$F$6)*2*I14</f>
        <v>336.96</v>
      </c>
      <c r="K14" s="50">
        <f>J14*(VLOOKUP(OpdateretÅrstal,Prislistetillæg!$A$5:$C$61,3,FALSE)/VLOOKUP(Produktionsår,Prislistetillæg!$A$5:$C$61,3,FALSE))</f>
        <v>551.32496430932895</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2*C6*I17</f>
        <v>28.700000000000003</v>
      </c>
      <c r="K17" s="50">
        <f>J17*(VLOOKUP(OpdateretÅrstal,Prislistetillæg!$A$5:$C$61,3,FALSE)/VLOOKUP(Produktionsår,Prislistetillæg!$A$5:$C$61,3,FALSE))</f>
        <v>46.958174488597287</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5.5" customHeight="1" x14ac:dyDescent="0.3">
      <c r="B19" s="26" t="s">
        <v>54</v>
      </c>
      <c r="C19" s="97" t="s">
        <v>55</v>
      </c>
      <c r="D19" s="97"/>
      <c r="E19" s="97"/>
      <c r="F19" s="97"/>
      <c r="G19" s="97"/>
      <c r="H19" s="97"/>
      <c r="I19" s="28">
        <v>3.91</v>
      </c>
      <c r="J19" s="52">
        <f>2*(2*(C6+F6))*I19</f>
        <v>134.50399999999999</v>
      </c>
      <c r="K19" s="50">
        <f>J19*(VLOOKUP(OpdateretÅrstal,Prislistetillæg!$A$5:$C$61,3,FALSE)/VLOOKUP(Produktionsår,Prislistetillæg!$A$5:$C$61,3,FALSE))</f>
        <v>220.0718571921355</v>
      </c>
    </row>
    <row r="20" spans="1:11" x14ac:dyDescent="0.3">
      <c r="B20" s="26" t="s">
        <v>56</v>
      </c>
      <c r="C20" s="97" t="s">
        <v>57</v>
      </c>
      <c r="D20" s="97"/>
      <c r="E20" s="97"/>
      <c r="F20" s="97"/>
      <c r="G20" s="97"/>
      <c r="H20" s="97"/>
      <c r="I20" s="28">
        <v>2.91</v>
      </c>
      <c r="J20" s="51">
        <f>C6*I20</f>
        <v>14.55</v>
      </c>
      <c r="K20" s="50">
        <f>J20*(VLOOKUP(OpdateretÅrstal,Prislistetillæg!$A$5:$C$61,3,FALSE)/VLOOKUP(Produktionsår,Prislistetillæg!$A$5:$C$61,3,FALSE))</f>
        <v>23.80632190972441</v>
      </c>
    </row>
    <row r="21" spans="1:11" x14ac:dyDescent="0.3">
      <c r="B21" s="26" t="s">
        <v>58</v>
      </c>
      <c r="C21" s="97" t="s">
        <v>59</v>
      </c>
      <c r="D21" s="97"/>
      <c r="E21" s="97"/>
      <c r="F21" s="97"/>
      <c r="G21" s="97"/>
      <c r="H21" s="97"/>
      <c r="I21" s="28">
        <v>5.79</v>
      </c>
      <c r="J21" s="31">
        <f>C6*2*I21</f>
        <v>57.9</v>
      </c>
      <c r="K21" s="50">
        <f>J21*(VLOOKUP(OpdateretÅrstal,Prislistetillæg!$A$5:$C$61,3,FALSE)/VLOOKUP(Produktionsår,Prislistetillæg!$A$5:$C$61,3,FALSE))</f>
        <v>94.734435640758974</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1773.904</v>
      </c>
      <c r="K27" s="48">
        <f>J27*(VLOOKUP(OpdateretÅrstal,Prislistetillæg!$A$5:$C$61,3,FALSE)/VLOOKUP(Produktionsår,Prislistetillæg!$A$5:$C$61,3,FALSE))</f>
        <v>2902.4144096871314</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98.550222222222217</v>
      </c>
      <c r="K29" s="49">
        <f>J29*(VLOOKUP(OpdateretÅrstal,Prislistetillæg!$A$5:$C$61,3,FALSE)/VLOOKUP(Produktionsår,Prislistetillæg!$A$5:$C$61,3,FALSE))</f>
        <v>161.2452449826184</v>
      </c>
    </row>
    <row r="32" spans="1:11" x14ac:dyDescent="0.3">
      <c r="A32" t="s">
        <v>70</v>
      </c>
    </row>
    <row r="33" spans="1:1" x14ac:dyDescent="0.3">
      <c r="A33" t="s">
        <v>71</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39">
    <tabColor rgb="FF0070C0"/>
  </sheetPr>
  <dimension ref="A1:K44"/>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22" t="s">
        <v>124</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5</v>
      </c>
      <c r="D6" s="102" t="s">
        <v>32</v>
      </c>
      <c r="E6" s="103"/>
      <c r="F6" s="34">
        <v>5</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690</v>
      </c>
      <c r="K11" s="50">
        <f>J11*(VLOOKUP(OpdateretÅrstal,Prislistetillæg!$A$5:$C$61,3,FALSE)/VLOOKUP(Produktionsår,Prislistetillæg!$A$5:$C$61,3,FALSE))</f>
        <v>1128.9595957188894</v>
      </c>
    </row>
    <row r="12" spans="1:11" ht="26.25" customHeight="1" x14ac:dyDescent="0.3">
      <c r="B12" s="26" t="s">
        <v>42</v>
      </c>
      <c r="C12" s="101" t="s">
        <v>43</v>
      </c>
      <c r="D12" s="101"/>
      <c r="E12" s="101"/>
      <c r="F12" s="101"/>
      <c r="G12" s="101"/>
      <c r="H12" s="101"/>
      <c r="I12" s="28">
        <v>7.33</v>
      </c>
      <c r="J12" s="38">
        <f>($C$6*$F$6)*I12</f>
        <v>183.25</v>
      </c>
      <c r="K12" s="50">
        <f>J12*(VLOOKUP(OpdateretÅrstal,Prislistetillæg!$A$5:$C$61,3,FALSE)/VLOOKUP(Produktionsår,Prislistetillæg!$A$5:$C$61,3,FALSE))</f>
        <v>299.82876219635722</v>
      </c>
    </row>
    <row r="13" spans="1:11" x14ac:dyDescent="0.3">
      <c r="B13" s="26" t="s">
        <v>44</v>
      </c>
      <c r="C13" s="101" t="s">
        <v>45</v>
      </c>
      <c r="D13" s="101"/>
      <c r="E13" s="101"/>
      <c r="F13" s="101"/>
      <c r="G13" s="101"/>
      <c r="H13" s="101"/>
      <c r="I13" s="28">
        <v>14.89</v>
      </c>
      <c r="J13" s="39">
        <f>($C$6*$F$6)*2*I13</f>
        <v>744.5</v>
      </c>
      <c r="K13" s="50">
        <f>J13*(VLOOKUP(OpdateretÅrstal,Prislistetillæg!$A$5:$C$61,3,FALSE)/VLOOKUP(Produktionsår,Prislistetillæg!$A$5:$C$61,3,FALSE))</f>
        <v>1218.1310420474103</v>
      </c>
    </row>
    <row r="14" spans="1:11" ht="26.25" customHeight="1" x14ac:dyDescent="0.3">
      <c r="B14" s="26" t="s">
        <v>46</v>
      </c>
      <c r="C14" s="101" t="s">
        <v>47</v>
      </c>
      <c r="D14" s="101"/>
      <c r="E14" s="101"/>
      <c r="F14" s="101"/>
      <c r="G14" s="101"/>
      <c r="H14" s="101"/>
      <c r="I14" s="28">
        <v>9.36</v>
      </c>
      <c r="J14" s="39">
        <f>($C$6*$F$6)*2*I14</f>
        <v>468</v>
      </c>
      <c r="K14" s="50">
        <f>J14*(VLOOKUP(OpdateretÅrstal,Prislistetillæg!$A$5:$C$61,3,FALSE)/VLOOKUP(Produktionsår,Prislistetillæg!$A$5:$C$61,3,FALSE))</f>
        <v>765.72911709629022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57.400000000000006</v>
      </c>
      <c r="K17" s="50">
        <f>J17*(VLOOKUP(OpdateretÅrstal,Prislistetillæg!$A$5:$C$61,3,FALSE)/VLOOKUP(Produktionsår,Prislistetillæg!$A$5:$C$61,3,FALSE))</f>
        <v>93.916348977194573</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5.5" customHeight="1" x14ac:dyDescent="0.3">
      <c r="B19" s="26" t="s">
        <v>54</v>
      </c>
      <c r="C19" s="97" t="s">
        <v>55</v>
      </c>
      <c r="D19" s="97"/>
      <c r="E19" s="97"/>
      <c r="F19" s="97"/>
      <c r="G19" s="97"/>
      <c r="H19" s="97"/>
      <c r="I19" s="28">
        <v>3.91</v>
      </c>
      <c r="J19" s="52">
        <f>2*(2*(C6+F6))*I19</f>
        <v>156.4</v>
      </c>
      <c r="K19" s="50">
        <f>J19*(VLOOKUP(OpdateretÅrstal,Prislistetillæg!$A$5:$C$61,3,FALSE)/VLOOKUP(Produktionsår,Prislistetillæg!$A$5:$C$61,3,FALSE))</f>
        <v>255.89750836294829</v>
      </c>
    </row>
    <row r="20" spans="1:11" x14ac:dyDescent="0.3">
      <c r="B20" s="26" t="s">
        <v>56</v>
      </c>
      <c r="C20" s="97" t="s">
        <v>57</v>
      </c>
      <c r="D20" s="97"/>
      <c r="E20" s="97"/>
      <c r="F20" s="97"/>
      <c r="G20" s="97"/>
      <c r="H20" s="97"/>
      <c r="I20" s="28">
        <v>5.32</v>
      </c>
      <c r="J20" s="51">
        <f>C6*I20</f>
        <v>26.6</v>
      </c>
      <c r="K20" s="50">
        <f>J20*(VLOOKUP(OpdateretÅrstal,Prislistetillæg!$A$5:$C$61,3,FALSE)/VLOOKUP(Produktionsår,Prislistetillæg!$A$5:$C$61,3,FALSE))</f>
        <v>43.522210501626752</v>
      </c>
    </row>
    <row r="21" spans="1:11" x14ac:dyDescent="0.3">
      <c r="B21" s="26" t="s">
        <v>58</v>
      </c>
      <c r="C21" s="97" t="s">
        <v>59</v>
      </c>
      <c r="D21" s="97"/>
      <c r="E21" s="97"/>
      <c r="F21" s="97"/>
      <c r="G21" s="97"/>
      <c r="H21" s="97"/>
      <c r="I21" s="28">
        <v>10.63</v>
      </c>
      <c r="J21" s="31">
        <f>C6*2*I21</f>
        <v>106.30000000000001</v>
      </c>
      <c r="K21" s="50">
        <f>J21*(VLOOKUP(OpdateretÅrstal,Prislistetillæg!$A$5:$C$61,3,FALSE)/VLOOKUP(Produktionsår,Prislistetillæg!$A$5:$C$61,3,FALSE))</f>
        <v>173.92522467379413</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(2*I25)*2</f>
        <v>23.04</v>
      </c>
      <c r="K25" s="50">
        <f>J25*(VLOOKUP(OpdateretÅrstal,Prislistetillæg!$A$5:$C$61,3,FALSE)/VLOOKUP(Produktionsår,Prislistetillæg!$A$5:$C$61,3,FALSE))</f>
        <v>37.697433457048135</v>
      </c>
    </row>
    <row r="26" spans="1:11" ht="12.75" customHeight="1" x14ac:dyDescent="0.3">
      <c r="B26" s="26"/>
      <c r="C26" s="110"/>
      <c r="D26" s="111"/>
      <c r="E26" s="111"/>
      <c r="F26" s="111"/>
      <c r="G26" s="111"/>
      <c r="H26" s="112"/>
      <c r="I26" s="27"/>
      <c r="J26" s="40"/>
      <c r="K26" s="47"/>
    </row>
    <row r="27" spans="1:11" ht="12.75" customHeight="1" x14ac:dyDescent="0.3">
      <c r="B27" s="26"/>
      <c r="C27" s="110" t="s">
        <v>68</v>
      </c>
      <c r="D27" s="111"/>
      <c r="E27" s="111"/>
      <c r="F27" s="111"/>
      <c r="G27" s="111"/>
      <c r="H27" s="112"/>
      <c r="I27" s="28"/>
      <c r="J27" s="38">
        <f>SUM(J11:J19)</f>
        <v>2408.5100000000002</v>
      </c>
      <c r="K27" s="48">
        <f>J27*(VLOOKUP(OpdateretÅrstal,Prislistetillæg!$A$5:$C$61,3,FALSE)/VLOOKUP(Produktionsår,Prislistetillæg!$A$5:$C$61,3,FALSE))</f>
        <v>3940.7398201230471</v>
      </c>
    </row>
    <row r="28" spans="1:11" ht="12.75" customHeight="1" x14ac:dyDescent="0.3">
      <c r="B28" s="26"/>
      <c r="C28" s="113"/>
      <c r="D28" s="114"/>
      <c r="E28" s="114"/>
      <c r="F28" s="114"/>
      <c r="G28" s="114"/>
      <c r="H28" s="115"/>
      <c r="I28" s="28"/>
      <c r="K28" s="47"/>
    </row>
    <row r="29" spans="1:11" ht="13.5" customHeight="1" thickBot="1" x14ac:dyDescent="0.35">
      <c r="B29" s="32"/>
      <c r="C29" s="116" t="s">
        <v>69</v>
      </c>
      <c r="D29" s="117"/>
      <c r="E29" s="117"/>
      <c r="F29" s="117"/>
      <c r="G29" s="117"/>
      <c r="H29" s="118"/>
      <c r="I29" s="33"/>
      <c r="J29" s="41">
        <f>J27/(C6*F6)</f>
        <v>96.340400000000002</v>
      </c>
      <c r="K29" s="49">
        <f>J29*(VLOOKUP(OpdateretÅrstal,Prislistetillæg!$A$5:$C$61,3,FALSE)/VLOOKUP(Produktionsår,Prislistetillæg!$A$5:$C$61,3,FALSE))</f>
        <v>157.62959280492188</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row r="44" spans="1:4" x14ac:dyDescent="0.3">
      <c r="D44" t="s">
        <v>92</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A1:K33"/>
  <sheetViews>
    <sheetView workbookViewId="0">
      <selection activeCell="N17" sqref="N17"/>
    </sheetView>
  </sheetViews>
  <sheetFormatPr defaultRowHeight="13.5" x14ac:dyDescent="0.3"/>
  <cols>
    <col min="9" max="9" width="9.4609375" bestFit="1" customWidth="1"/>
    <col min="10" max="11" width="10.4609375" bestFit="1" customWidth="1"/>
  </cols>
  <sheetData>
    <row r="1" spans="1:11" ht="14" thickBot="1" x14ac:dyDescent="0.35">
      <c r="A1" s="98" t="s">
        <v>73</v>
      </c>
      <c r="B1" s="99"/>
      <c r="C1" s="99"/>
      <c r="D1" s="99"/>
      <c r="E1" s="99"/>
      <c r="F1" s="99"/>
      <c r="G1" s="99"/>
      <c r="H1" s="99"/>
      <c r="I1" s="99"/>
      <c r="J1" s="99"/>
      <c r="K1" s="100"/>
    </row>
    <row r="3" spans="1:11" x14ac:dyDescent="0.3">
      <c r="A3" t="s">
        <v>29</v>
      </c>
      <c r="D3" s="36">
        <v>2014</v>
      </c>
      <c r="E3" t="s">
        <v>30</v>
      </c>
    </row>
    <row r="6" spans="1:11" x14ac:dyDescent="0.3">
      <c r="A6" s="102" t="s">
        <v>31</v>
      </c>
      <c r="B6" s="103"/>
      <c r="C6" s="34">
        <v>2</v>
      </c>
      <c r="D6" s="102" t="s">
        <v>32</v>
      </c>
      <c r="E6" s="103"/>
      <c r="F6" s="34">
        <v>3.6</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243.50400000000002</v>
      </c>
      <c r="K11" s="50">
        <f>J11*(VLOOKUP(OpdateretÅrstal,Prislistetillæg!$A$5:$C$61,3,FALSE)/VLOOKUP(Produktionsår,Prislistetillæg!$A$5:$C$61,3,FALSE))</f>
        <v>398.4147498491775</v>
      </c>
    </row>
    <row r="12" spans="1:11" ht="24.75" customHeight="1" x14ac:dyDescent="0.3">
      <c r="B12" s="26" t="s">
        <v>42</v>
      </c>
      <c r="C12" s="101" t="s">
        <v>43</v>
      </c>
      <c r="D12" s="101"/>
      <c r="E12" s="101"/>
      <c r="F12" s="101"/>
      <c r="G12" s="101"/>
      <c r="H12" s="101"/>
      <c r="I12" s="28">
        <v>7.33</v>
      </c>
      <c r="J12" s="38">
        <f>($C$6*$F$6)*I12</f>
        <v>52.776000000000003</v>
      </c>
      <c r="K12" s="50">
        <f>J12*(VLOOKUP(OpdateretÅrstal,Prislistetillæg!$A$5:$C$61,3,FALSE)/VLOOKUP(Produktionsår,Prislistetillæg!$A$5:$C$61,3,FALSE))</f>
        <v>86.350683512550887</v>
      </c>
    </row>
    <row r="13" spans="1:11" x14ac:dyDescent="0.3">
      <c r="B13" s="26" t="s">
        <v>44</v>
      </c>
      <c r="C13" s="101" t="s">
        <v>45</v>
      </c>
      <c r="D13" s="101"/>
      <c r="E13" s="101"/>
      <c r="F13" s="101"/>
      <c r="G13" s="101"/>
      <c r="H13" s="101"/>
      <c r="I13" s="28">
        <v>18.29</v>
      </c>
      <c r="J13" s="39">
        <f>($C$6*$F$6)*2*I13</f>
        <v>263.37599999999998</v>
      </c>
      <c r="K13" s="50">
        <f>J13*(VLOOKUP(OpdateretÅrstal,Prislistetillæg!$A$5:$C$61,3,FALSE)/VLOOKUP(Produktionsår,Prislistetillæg!$A$5:$C$61,3,FALSE))</f>
        <v>430.92878620588147</v>
      </c>
    </row>
    <row r="14" spans="1:11" ht="25.5" customHeight="1" x14ac:dyDescent="0.3">
      <c r="B14" s="26" t="s">
        <v>46</v>
      </c>
      <c r="C14" s="101" t="s">
        <v>47</v>
      </c>
      <c r="D14" s="101"/>
      <c r="E14" s="101"/>
      <c r="F14" s="101"/>
      <c r="G14" s="101"/>
      <c r="H14" s="101"/>
      <c r="I14" s="28">
        <v>9.36</v>
      </c>
      <c r="J14" s="39">
        <f>($C$6*$F$6)*2*I14</f>
        <v>134.78399999999999</v>
      </c>
      <c r="K14" s="50">
        <f>J14*(VLOOKUP(OpdateretÅrstal,Prislistetillæg!$A$5:$C$61,3,FALSE)/VLOOKUP(Produktionsår,Prislistetillæg!$A$5:$C$61,3,FALSE))</f>
        <v>220.52998572373156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11.48</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5.5" customHeight="1" x14ac:dyDescent="0.3">
      <c r="B19" s="26" t="s">
        <v>54</v>
      </c>
      <c r="C19" s="97" t="s">
        <v>55</v>
      </c>
      <c r="D19" s="97"/>
      <c r="E19" s="97"/>
      <c r="F19" s="97"/>
      <c r="G19" s="97"/>
      <c r="H19" s="97"/>
      <c r="I19" s="28">
        <v>3.91</v>
      </c>
      <c r="J19" s="52">
        <f>2*(2*(C6+F6))*I19</f>
        <v>87.584000000000003</v>
      </c>
      <c r="K19" s="50">
        <f>J19*(VLOOKUP(OpdateretÅrstal,Prislistetillæg!$A$5:$C$61,3,FALSE)/VLOOKUP(Produktionsår,Prislistetillæg!$A$5:$C$61,3,FALSE))</f>
        <v>143.30260468325105</v>
      </c>
    </row>
    <row r="20" spans="1:11" x14ac:dyDescent="0.3">
      <c r="B20" s="26" t="s">
        <v>56</v>
      </c>
      <c r="C20" s="97" t="s">
        <v>57</v>
      </c>
      <c r="D20" s="97"/>
      <c r="E20" s="97"/>
      <c r="F20" s="97"/>
      <c r="G20" s="97"/>
      <c r="H20" s="97"/>
      <c r="I20" s="28">
        <v>2.91</v>
      </c>
      <c r="J20" s="51">
        <f>C6*I20</f>
        <v>5.82</v>
      </c>
      <c r="K20" s="50">
        <f>J20*(VLOOKUP(OpdateretÅrstal,Prislistetillæg!$A$5:$C$61,3,FALSE)/VLOOKUP(Produktionsår,Prislistetillæg!$A$5:$C$61,3,FALSE))</f>
        <v>9.5225287638897633</v>
      </c>
    </row>
    <row r="21" spans="1:11" x14ac:dyDescent="0.3">
      <c r="B21" s="26" t="s">
        <v>58</v>
      </c>
      <c r="C21" s="97" t="s">
        <v>59</v>
      </c>
      <c r="D21" s="97"/>
      <c r="E21" s="97"/>
      <c r="F21" s="97"/>
      <c r="G21" s="97"/>
      <c r="H21" s="97"/>
      <c r="I21" s="28">
        <v>5.79</v>
      </c>
      <c r="J21" s="31">
        <f>C6*2*I21</f>
        <v>23.16</v>
      </c>
      <c r="K21" s="50">
        <f>J21*(VLOOKUP(OpdateretÅrstal,Prislistetillæg!$A$5:$C$61,3,FALSE)/VLOOKUP(Produktionsår,Prislistetillæg!$A$5:$C$61,3,FALSE))</f>
        <v>37.893774256303594</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902.46399999999994</v>
      </c>
      <c r="K27" s="48">
        <f>J27*(VLOOKUP(OpdateretÅrstal,Prislistetillæg!$A$5:$C$61,3,FALSE)/VLOOKUP(Produktionsår,Prislistetillæg!$A$5:$C$61,3,FALSE))</f>
        <v>1476.5875254939881</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125.3422222222222</v>
      </c>
      <c r="K29" s="49">
        <f>J29*(VLOOKUP(OpdateretÅrstal,Prislistetillæg!$A$5:$C$61,3,FALSE)/VLOOKUP(Produktionsår,Prislistetillæg!$A$5:$C$61,3,FALSE))</f>
        <v>205.08160076305387</v>
      </c>
    </row>
    <row r="32" spans="1:11" x14ac:dyDescent="0.3">
      <c r="A32" t="s">
        <v>70</v>
      </c>
    </row>
    <row r="33" spans="1:1" x14ac:dyDescent="0.3">
      <c r="A33" t="s">
        <v>71</v>
      </c>
    </row>
  </sheetData>
  <mergeCells count="25">
    <mergeCell ref="C16:H16"/>
    <mergeCell ref="A1:K1"/>
    <mergeCell ref="A6:B6"/>
    <mergeCell ref="D6:E6"/>
    <mergeCell ref="G6:I6"/>
    <mergeCell ref="C10:H10"/>
    <mergeCell ref="C11:H11"/>
    <mergeCell ref="C12:H12"/>
    <mergeCell ref="C13:H13"/>
    <mergeCell ref="C14:H14"/>
    <mergeCell ref="C15:H15"/>
    <mergeCell ref="C9:H9"/>
    <mergeCell ref="C27:H27"/>
    <mergeCell ref="C28:H28"/>
    <mergeCell ref="C29:H29"/>
    <mergeCell ref="C17:H17"/>
    <mergeCell ref="C18:H18"/>
    <mergeCell ref="C19:H19"/>
    <mergeCell ref="C20:H20"/>
    <mergeCell ref="C21:H21"/>
    <mergeCell ref="C26:H26"/>
    <mergeCell ref="C22:H22"/>
    <mergeCell ref="C23:H23"/>
    <mergeCell ref="C24:H24"/>
    <mergeCell ref="C25:H25"/>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40">
    <tabColor rgb="FF0070C0"/>
  </sheetPr>
  <dimension ref="A1:K44"/>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22" t="s">
        <v>125</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5</v>
      </c>
      <c r="D6" s="102" t="s">
        <v>32</v>
      </c>
      <c r="E6" s="103"/>
      <c r="F6" s="34">
        <v>6.8</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938.40000000000009</v>
      </c>
      <c r="K11" s="50">
        <f>J11*(VLOOKUP(OpdateretÅrstal,Prislistetillæg!$A$5:$C$61,3,FALSE)/VLOOKUP(Produktionsår,Prislistetillæg!$A$5:$C$61,3,FALSE))</f>
        <v>1535.3850501776897</v>
      </c>
    </row>
    <row r="12" spans="1:11" ht="25.5" customHeight="1" x14ac:dyDescent="0.3">
      <c r="B12" s="26" t="s">
        <v>42</v>
      </c>
      <c r="C12" s="101" t="s">
        <v>43</v>
      </c>
      <c r="D12" s="101"/>
      <c r="E12" s="101"/>
      <c r="F12" s="101"/>
      <c r="G12" s="101"/>
      <c r="H12" s="101"/>
      <c r="I12" s="28">
        <v>7.33</v>
      </c>
      <c r="J12" s="38">
        <f>($C$6*$F$6)*I12</f>
        <v>249.22</v>
      </c>
      <c r="K12" s="50">
        <f>J12*(VLOOKUP(OpdateretÅrstal,Prislistetillæg!$A$5:$C$61,3,FALSE)/VLOOKUP(Produktionsår,Prislistetillæg!$A$5:$C$61,3,FALSE))</f>
        <v>407.76711658704585</v>
      </c>
    </row>
    <row r="13" spans="1:11" x14ac:dyDescent="0.3">
      <c r="B13" s="26" t="s">
        <v>44</v>
      </c>
      <c r="C13" s="101" t="s">
        <v>45</v>
      </c>
      <c r="D13" s="101"/>
      <c r="E13" s="101"/>
      <c r="F13" s="101"/>
      <c r="G13" s="101"/>
      <c r="H13" s="101"/>
      <c r="I13" s="28">
        <v>14.89</v>
      </c>
      <c r="J13" s="39">
        <f>($C$6*$F$6)*2*I13</f>
        <v>1012.52</v>
      </c>
      <c r="K13" s="50">
        <f>J13*(VLOOKUP(OpdateretÅrstal,Prislistetillæg!$A$5:$C$61,3,FALSE)/VLOOKUP(Produktionsår,Prislistetillæg!$A$5:$C$61,3,FALSE))</f>
        <v>1656.6582171844782</v>
      </c>
    </row>
    <row r="14" spans="1:11" ht="26.25" customHeight="1" x14ac:dyDescent="0.3">
      <c r="B14" s="26" t="s">
        <v>46</v>
      </c>
      <c r="C14" s="101" t="s">
        <v>47</v>
      </c>
      <c r="D14" s="101"/>
      <c r="E14" s="101"/>
      <c r="F14" s="101"/>
      <c r="G14" s="101"/>
      <c r="H14" s="101"/>
      <c r="I14" s="28">
        <v>9.36</v>
      </c>
      <c r="J14" s="39">
        <f>($C$6*$F$6)*2*I14</f>
        <v>636.48</v>
      </c>
      <c r="K14" s="50">
        <f>J14*(VLOOKUP(OpdateretÅrstal,Prislistetillæg!$A$5:$C$61,3,FALSE)/VLOOKUP(Produktionsår,Prislistetillæg!$A$5:$C$61,3,FALSE))</f>
        <v>1041.3915992509546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57.400000000000006</v>
      </c>
      <c r="K17" s="50">
        <f>J17*(VLOOKUP(OpdateretÅrstal,Prislistetillæg!$A$5:$C$61,3,FALSE)/VLOOKUP(Produktionsår,Prislistetillæg!$A$5:$C$61,3,FALSE))</f>
        <v>93.916348977194573</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184.55200000000002</v>
      </c>
      <c r="K19" s="50">
        <f>J19*(VLOOKUP(OpdateretÅrstal,Prislistetillæg!$A$5:$C$61,3,FALSE)/VLOOKUP(Produktionsår,Prislistetillæg!$A$5:$C$61,3,FALSE))</f>
        <v>301.95905986827898</v>
      </c>
    </row>
    <row r="20" spans="1:11" x14ac:dyDescent="0.3">
      <c r="B20" s="26" t="s">
        <v>56</v>
      </c>
      <c r="C20" s="97" t="s">
        <v>57</v>
      </c>
      <c r="D20" s="97"/>
      <c r="E20" s="97"/>
      <c r="F20" s="97"/>
      <c r="G20" s="97"/>
      <c r="H20" s="97"/>
      <c r="I20" s="28">
        <v>8.2200000000000006</v>
      </c>
      <c r="J20" s="51">
        <f>C6*I20</f>
        <v>41.1</v>
      </c>
      <c r="K20" s="50">
        <f>J20*(VLOOKUP(OpdateretÅrstal,Prislistetillæg!$A$5:$C$61,3,FALSE)/VLOOKUP(Produktionsår,Prislistetillæg!$A$5:$C$61,3,FALSE))</f>
        <v>67.246723744994725</v>
      </c>
    </row>
    <row r="21" spans="1:11" x14ac:dyDescent="0.3">
      <c r="B21" s="26" t="s">
        <v>58</v>
      </c>
      <c r="C21" s="97" t="s">
        <v>59</v>
      </c>
      <c r="D21" s="97"/>
      <c r="E21" s="97"/>
      <c r="F21" s="97"/>
      <c r="G21" s="97"/>
      <c r="H21" s="97"/>
      <c r="I21" s="28">
        <v>16.43</v>
      </c>
      <c r="J21" s="31">
        <f>C6*2*I21</f>
        <v>164.3</v>
      </c>
      <c r="K21" s="50">
        <f>J21*(VLOOKUP(OpdateretÅrstal,Prislistetillæg!$A$5:$C$61,3,FALSE)/VLOOKUP(Produktionsår,Prislistetillæg!$A$5:$C$61,3,FALSE))</f>
        <v>268.82327764726602</v>
      </c>
    </row>
    <row r="22" spans="1:11" x14ac:dyDescent="0.3">
      <c r="B22" s="26" t="s">
        <v>60</v>
      </c>
      <c r="C22" s="110" t="s">
        <v>61</v>
      </c>
      <c r="D22" s="111"/>
      <c r="E22" s="111"/>
      <c r="F22" s="111"/>
      <c r="G22" s="111"/>
      <c r="H22" s="112"/>
      <c r="I22" s="28">
        <v>32.729999999999997</v>
      </c>
      <c r="J22" s="38">
        <f>(2*I22)*13.2</f>
        <v>864.07199999999989</v>
      </c>
      <c r="K22" s="50">
        <f>J22*(VLOOKUP(OpdateretÅrstal,Prislistetillæg!$A$5:$C$61,3,FALSE)/VLOOKUP(Produktionsår,Prislistetillæg!$A$5:$C$61,3,FALSE))</f>
        <v>1413.771559118858</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61.371199999999995</v>
      </c>
      <c r="K24" s="50">
        <f>J24*(VLOOKUP(OpdateretÅrstal,Prislistetillæg!$A$5:$C$61,3,FALSE)/VLOOKUP(Produktionsår,Prislistetillæg!$A$5:$C$61,3,FALSE))</f>
        <v>100.41392049388855</v>
      </c>
    </row>
    <row r="25" spans="1:11" ht="24.75" customHeight="1" x14ac:dyDescent="0.3">
      <c r="B25" s="26" t="s">
        <v>66</v>
      </c>
      <c r="C25" s="110" t="s">
        <v>67</v>
      </c>
      <c r="D25" s="111"/>
      <c r="E25" s="111"/>
      <c r="F25" s="111"/>
      <c r="G25" s="111"/>
      <c r="H25" s="112"/>
      <c r="I25" s="28">
        <v>5.76</v>
      </c>
      <c r="J25" s="38">
        <f>(2*I25)*2</f>
        <v>23.04</v>
      </c>
      <c r="K25" s="50">
        <f>J25*(VLOOKUP(OpdateretÅrstal,Prislistetillæg!$A$5:$C$61,3,FALSE)/VLOOKUP(Produktionsår,Prislistetillæg!$A$5:$C$61,3,FALSE))</f>
        <v>37.697433457048135</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3187.5320000000006</v>
      </c>
      <c r="K27" s="48">
        <f>J27*(VLOOKUP(OpdateretÅrstal,Prislistetillæg!$A$5:$C$61,3,FALSE)/VLOOKUP(Produktionsår,Prislistetillæg!$A$5:$C$61,3,FALSE))</f>
        <v>5215.3548377695997</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93.750941176470604</v>
      </c>
      <c r="K29" s="49">
        <f>J29*(VLOOKUP(OpdateretÅrstal,Prislistetillæg!$A$5:$C$61,3,FALSE)/VLOOKUP(Produktionsår,Prislistetillæg!$A$5:$C$61,3,FALSE))</f>
        <v>153.3927893461647</v>
      </c>
    </row>
    <row r="32" spans="1:11" x14ac:dyDescent="0.3">
      <c r="A32" t="s">
        <v>70</v>
      </c>
    </row>
    <row r="33" spans="1:4" x14ac:dyDescent="0.3">
      <c r="A33" t="s">
        <v>71</v>
      </c>
    </row>
    <row r="36" spans="1:4" x14ac:dyDescent="0.3">
      <c r="A36" t="s">
        <v>75</v>
      </c>
      <c r="D36" t="s">
        <v>84</v>
      </c>
    </row>
    <row r="37" spans="1:4" x14ac:dyDescent="0.3">
      <c r="D37" t="s">
        <v>85</v>
      </c>
    </row>
    <row r="38" spans="1:4" x14ac:dyDescent="0.3">
      <c r="D38" t="s">
        <v>86</v>
      </c>
    </row>
    <row r="40" spans="1:4" x14ac:dyDescent="0.3">
      <c r="A40" t="s">
        <v>79</v>
      </c>
      <c r="D40" t="s">
        <v>80</v>
      </c>
    </row>
    <row r="41" spans="1:4" x14ac:dyDescent="0.3">
      <c r="D41" t="s">
        <v>81</v>
      </c>
    </row>
    <row r="43" spans="1:4" x14ac:dyDescent="0.3">
      <c r="D43" t="s">
        <v>82</v>
      </c>
    </row>
    <row r="44" spans="1:4" x14ac:dyDescent="0.3">
      <c r="D44" t="s">
        <v>92</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41">
    <tabColor rgb="FF0070C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22" t="s">
        <v>126</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20</v>
      </c>
      <c r="D6" s="102" t="s">
        <v>32</v>
      </c>
      <c r="E6" s="103"/>
      <c r="F6" s="34">
        <v>2.4</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1324.8000000000002</v>
      </c>
      <c r="K11" s="50">
        <f>J11*(VLOOKUP(OpdateretÅrstal,Prislistetillæg!$A$5:$C$61,3,FALSE)/VLOOKUP(Produktionsår,Prislistetillæg!$A$5:$C$61,3,FALSE))</f>
        <v>2167.6024237802681</v>
      </c>
    </row>
    <row r="12" spans="1:11" ht="24.75" customHeight="1" x14ac:dyDescent="0.3">
      <c r="B12" s="26" t="s">
        <v>42</v>
      </c>
      <c r="C12" s="101" t="s">
        <v>43</v>
      </c>
      <c r="D12" s="101"/>
      <c r="E12" s="101"/>
      <c r="F12" s="101"/>
      <c r="G12" s="101"/>
      <c r="H12" s="101"/>
      <c r="I12" s="28">
        <v>7.33</v>
      </c>
      <c r="J12" s="38">
        <f>($C$6*$F$6)*I12</f>
        <v>351.84000000000003</v>
      </c>
      <c r="K12" s="50">
        <f>J12*(VLOOKUP(OpdateretÅrstal,Prislistetillæg!$A$5:$C$61,3,FALSE)/VLOOKUP(Produktionsår,Prislistetillæg!$A$5:$C$61,3,FALSE))</f>
        <v>575.67122341700588</v>
      </c>
    </row>
    <row r="13" spans="1:11" x14ac:dyDescent="0.3">
      <c r="B13" s="26" t="s">
        <v>44</v>
      </c>
      <c r="C13" s="101" t="s">
        <v>45</v>
      </c>
      <c r="D13" s="101"/>
      <c r="E13" s="101"/>
      <c r="F13" s="101"/>
      <c r="G13" s="101"/>
      <c r="H13" s="101"/>
      <c r="I13" s="28">
        <v>14.89</v>
      </c>
      <c r="J13" s="39">
        <f>($C$6*$F$6)*2*I13</f>
        <v>1429.44</v>
      </c>
      <c r="K13" s="50">
        <f>J13*(VLOOKUP(OpdateretÅrstal,Prislistetillæg!$A$5:$C$61,3,FALSE)/VLOOKUP(Produktionsår,Prislistetillæg!$A$5:$C$61,3,FALSE))</f>
        <v>2338.8116007310282</v>
      </c>
    </row>
    <row r="14" spans="1:11" ht="26.25" customHeight="1" x14ac:dyDescent="0.3">
      <c r="B14" s="26" t="s">
        <v>46</v>
      </c>
      <c r="C14" s="101" t="s">
        <v>47</v>
      </c>
      <c r="D14" s="101"/>
      <c r="E14" s="101"/>
      <c r="F14" s="101"/>
      <c r="G14" s="101"/>
      <c r="H14" s="101"/>
      <c r="I14" s="28">
        <v>9.36</v>
      </c>
      <c r="J14" s="39">
        <f>($C$6*$F$6)*2*I14</f>
        <v>898.56</v>
      </c>
      <c r="K14" s="50">
        <f>J14*(VLOOKUP(OpdateretÅrstal,Prislistetillæg!$A$5:$C$61,3,FALSE)/VLOOKUP(Produktionsår,Prislistetillæg!$A$5:$C$61,3,FALSE))</f>
        <v>1470.1999048248772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350.33600000000001</v>
      </c>
      <c r="K19" s="50">
        <f>J19*(VLOOKUP(OpdateretÅrstal,Prislistetillæg!$A$5:$C$61,3,FALSE)/VLOOKUP(Produktionsår,Prislistetillæg!$A$5:$C$61,3,FALSE))</f>
        <v>573.21041873300419</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4463.9360000000006</v>
      </c>
      <c r="K27" s="48">
        <f>J27*(VLOOKUP(OpdateretÅrstal,Prislistetillæg!$A$5:$C$61,3,FALSE)/VLOOKUP(Produktionsår,Prislistetillæg!$A$5:$C$61,3,FALSE))</f>
        <v>7303.773017210141</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92.998666666666679</v>
      </c>
      <c r="K29" s="49">
        <f>J29*(VLOOKUP(OpdateretÅrstal,Prislistetillæg!$A$5:$C$61,3,FALSE)/VLOOKUP(Produktionsår,Prislistetillæg!$A$5:$C$61,3,FALSE))</f>
        <v>152.1619378585446</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42">
    <tabColor rgb="FF0070C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22" t="s">
        <v>127</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20</v>
      </c>
      <c r="D6" s="102" t="s">
        <v>32</v>
      </c>
      <c r="E6" s="103"/>
      <c r="F6" s="34">
        <v>2.8</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1545.6000000000001</v>
      </c>
      <c r="K11" s="50">
        <f>J11*(VLOOKUP(OpdateretÅrstal,Prislistetillæg!$A$5:$C$61,3,FALSE)/VLOOKUP(Produktionsår,Prislistetillæg!$A$5:$C$61,3,FALSE))</f>
        <v>2528.8694944103127</v>
      </c>
    </row>
    <row r="12" spans="1:11" ht="24.75" customHeight="1" x14ac:dyDescent="0.3">
      <c r="B12" s="26" t="s">
        <v>42</v>
      </c>
      <c r="C12" s="101" t="s">
        <v>43</v>
      </c>
      <c r="D12" s="101"/>
      <c r="E12" s="101"/>
      <c r="F12" s="101"/>
      <c r="G12" s="101"/>
      <c r="H12" s="101"/>
      <c r="I12" s="28">
        <v>7.33</v>
      </c>
      <c r="J12" s="38">
        <f>($C$6*$F$6)*I12</f>
        <v>410.48</v>
      </c>
      <c r="K12" s="50">
        <f>J12*(VLOOKUP(OpdateretÅrstal,Prislistetillæg!$A$5:$C$61,3,FALSE)/VLOOKUP(Produktionsår,Prislistetillæg!$A$5:$C$61,3,FALSE))</f>
        <v>671.61642731984023</v>
      </c>
    </row>
    <row r="13" spans="1:11" x14ac:dyDescent="0.3">
      <c r="B13" s="26" t="s">
        <v>44</v>
      </c>
      <c r="C13" s="101" t="s">
        <v>45</v>
      </c>
      <c r="D13" s="101"/>
      <c r="E13" s="101"/>
      <c r="F13" s="101"/>
      <c r="G13" s="101"/>
      <c r="H13" s="101"/>
      <c r="I13" s="28">
        <v>14.89</v>
      </c>
      <c r="J13" s="39">
        <f>($C$6*$F$6)*2*I13</f>
        <v>1667.68</v>
      </c>
      <c r="K13" s="50">
        <f>J13*(VLOOKUP(OpdateretÅrstal,Prislistetillæg!$A$5:$C$61,3,FALSE)/VLOOKUP(Produktionsår,Prislistetillæg!$A$5:$C$61,3,FALSE))</f>
        <v>2728.6135341861996</v>
      </c>
    </row>
    <row r="14" spans="1:11" ht="26.25" customHeight="1" x14ac:dyDescent="0.3">
      <c r="B14" s="26" t="s">
        <v>46</v>
      </c>
      <c r="C14" s="101" t="s">
        <v>47</v>
      </c>
      <c r="D14" s="101"/>
      <c r="E14" s="101"/>
      <c r="F14" s="101"/>
      <c r="G14" s="101"/>
      <c r="H14" s="101"/>
      <c r="I14" s="28">
        <v>9.36</v>
      </c>
      <c r="J14" s="39">
        <f>($C$6*$F$6)*2*I14</f>
        <v>1048.32</v>
      </c>
      <c r="K14" s="50">
        <f>J14*(VLOOKUP(OpdateretÅrstal,Prislistetillæg!$A$5:$C$61,3,FALSE)/VLOOKUP(Produktionsår,Prislistetillæg!$A$5:$C$61,3,FALSE))</f>
        <v>1715.23322229569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114.80000000000001</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356.59200000000004</v>
      </c>
      <c r="K19" s="50">
        <f>J19*(VLOOKUP(OpdateretÅrstal,Prislistetillæg!$A$5:$C$61,3,FALSE)/VLOOKUP(Produktionsår,Prislistetillæg!$A$5:$C$61,3,FALSE))</f>
        <v>583.44631906752215</v>
      </c>
    </row>
    <row r="20" spans="1:11" ht="12.75" customHeight="1" x14ac:dyDescent="0.3">
      <c r="B20" s="26" t="s">
        <v>56</v>
      </c>
      <c r="C20" s="97" t="s">
        <v>57</v>
      </c>
      <c r="D20" s="97"/>
      <c r="E20" s="97"/>
      <c r="F20" s="97"/>
      <c r="G20" s="97"/>
      <c r="H20" s="97"/>
      <c r="I20" s="28">
        <v>1.93</v>
      </c>
      <c r="J20" s="51">
        <f>C6*I20</f>
        <v>38.6</v>
      </c>
      <c r="K20" s="50">
        <f>J20*(VLOOKUP(OpdateretÅrstal,Prislistetillæg!$A$5:$C$61,3,FALSE)/VLOOKUP(Produktionsår,Prislistetillæg!$A$5:$C$61,3,FALSE))</f>
        <v>63.156290427172657</v>
      </c>
    </row>
    <row r="21" spans="1:11" ht="12.75" customHeight="1" x14ac:dyDescent="0.3">
      <c r="B21" s="26" t="s">
        <v>58</v>
      </c>
      <c r="C21" s="97" t="s">
        <v>59</v>
      </c>
      <c r="D21" s="97"/>
      <c r="E21" s="97"/>
      <c r="F21" s="97"/>
      <c r="G21" s="97"/>
      <c r="H21" s="97"/>
      <c r="I21" s="28">
        <v>3.87</v>
      </c>
      <c r="J21" s="31">
        <f>C6*2*I21</f>
        <v>154.80000000000001</v>
      </c>
      <c r="K21" s="50">
        <f>J21*(VLOOKUP(OpdateretÅrstal,Prislistetillæg!$A$5:$C$61,3,FALSE)/VLOOKUP(Produktionsår,Prislistetillæg!$A$5:$C$61,3,FALSE))</f>
        <v>253.27963103954215</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5252.4319999999998</v>
      </c>
      <c r="K27" s="48">
        <f>J27*(VLOOKUP(OpdateretÅrstal,Prislistetillæg!$A$5:$C$61,3,FALSE)/VLOOKUP(Produktionsår,Prislistetillæg!$A$5:$C$61,3,FALSE))</f>
        <v>8593.8891409579101</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93.793428571428564</v>
      </c>
      <c r="K29" s="49">
        <f>J29*(VLOOKUP(OpdateretÅrstal,Prislistetillæg!$A$5:$C$61,3,FALSE)/VLOOKUP(Produktionsår,Prislistetillæg!$A$5:$C$61,3,FALSE))</f>
        <v>153.46230608853409</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43">
    <tabColor rgb="FF0070C0"/>
  </sheetPr>
  <dimension ref="A1:K3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122" t="s">
        <v>128</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20</v>
      </c>
      <c r="D6" s="102" t="s">
        <v>32</v>
      </c>
      <c r="E6" s="103"/>
      <c r="F6" s="34">
        <v>3.6</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1987.2</v>
      </c>
      <c r="K11" s="50">
        <f>J11*(VLOOKUP(OpdateretÅrstal,Prislistetillæg!$A$5:$C$61,3,FALSE)/VLOOKUP(Produktionsår,Prislistetillæg!$A$5:$C$61,3,FALSE))</f>
        <v>3251.4036356704014</v>
      </c>
    </row>
    <row r="12" spans="1:11" ht="24.75" customHeight="1" x14ac:dyDescent="0.3">
      <c r="B12" s="26" t="s">
        <v>42</v>
      </c>
      <c r="C12" s="101" t="s">
        <v>43</v>
      </c>
      <c r="D12" s="101"/>
      <c r="E12" s="101"/>
      <c r="F12" s="101"/>
      <c r="G12" s="101"/>
      <c r="H12" s="101"/>
      <c r="I12" s="28">
        <v>7.33</v>
      </c>
      <c r="J12" s="38">
        <f>($C$6*$F$6)*I12</f>
        <v>527.76</v>
      </c>
      <c r="K12" s="50">
        <f>J12*(VLOOKUP(OpdateretÅrstal,Prislistetillæg!$A$5:$C$61,3,FALSE)/VLOOKUP(Produktionsår,Prislistetillæg!$A$5:$C$61,3,FALSE))</f>
        <v>863.50683512550881</v>
      </c>
    </row>
    <row r="13" spans="1:11" x14ac:dyDescent="0.3">
      <c r="B13" s="26" t="s">
        <v>44</v>
      </c>
      <c r="C13" s="101" t="s">
        <v>45</v>
      </c>
      <c r="D13" s="101"/>
      <c r="E13" s="101"/>
      <c r="F13" s="101"/>
      <c r="G13" s="101"/>
      <c r="H13" s="101"/>
      <c r="I13" s="28">
        <v>14.89</v>
      </c>
      <c r="J13" s="39">
        <f>($C$6*$F$6)*2*I13</f>
        <v>2144.16</v>
      </c>
      <c r="K13" s="50">
        <f>J13*(VLOOKUP(OpdateretÅrstal,Prislistetillæg!$A$5:$C$61,3,FALSE)/VLOOKUP(Produktionsår,Prislistetillæg!$A$5:$C$61,3,FALSE))</f>
        <v>3508.2174010965418</v>
      </c>
    </row>
    <row r="14" spans="1:11" ht="25.5" customHeight="1" x14ac:dyDescent="0.3">
      <c r="B14" s="26" t="s">
        <v>46</v>
      </c>
      <c r="C14" s="101" t="s">
        <v>47</v>
      </c>
      <c r="D14" s="101"/>
      <c r="E14" s="101"/>
      <c r="F14" s="101"/>
      <c r="G14" s="101"/>
      <c r="H14" s="101"/>
      <c r="I14" s="28">
        <v>9.36</v>
      </c>
      <c r="J14" s="39">
        <f>($C$6*$F$6)*2*I14</f>
        <v>1347.84</v>
      </c>
      <c r="K14" s="50">
        <f>J14*(VLOOKUP(OpdateretÅrstal,Prislistetillæg!$A$5:$C$61,3,FALSE)/VLOOKUP(Produktionsår,Prislistetillæg!$A$5:$C$61,3,FALSE))</f>
        <v>2205.2998572373158</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4.75" customHeight="1" x14ac:dyDescent="0.3">
      <c r="B17" s="26" t="s">
        <v>52</v>
      </c>
      <c r="C17" s="101" t="s">
        <v>53</v>
      </c>
      <c r="D17" s="101"/>
      <c r="E17" s="101"/>
      <c r="F17" s="101"/>
      <c r="G17" s="101"/>
      <c r="H17" s="101"/>
      <c r="I17" s="28">
        <v>2.87</v>
      </c>
      <c r="J17" s="38">
        <f>2*C6*I17</f>
        <v>114.80000000000001</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369.10400000000004</v>
      </c>
      <c r="K19" s="50">
        <f>J19*(VLOOKUP(OpdateretÅrstal,Prislistetillæg!$A$5:$C$61,3,FALSE)/VLOOKUP(Produktionsår,Prislistetillæg!$A$5:$C$61,3,FALSE))</f>
        <v>603.91811973655797</v>
      </c>
    </row>
    <row r="20" spans="1:11" x14ac:dyDescent="0.3">
      <c r="B20" s="26" t="s">
        <v>56</v>
      </c>
      <c r="C20" s="97" t="s">
        <v>57</v>
      </c>
      <c r="D20" s="97"/>
      <c r="E20" s="97"/>
      <c r="F20" s="97"/>
      <c r="G20" s="97"/>
      <c r="H20" s="97"/>
      <c r="I20" s="28">
        <v>2.91</v>
      </c>
      <c r="J20" s="51">
        <f>C6*I20</f>
        <v>58.2</v>
      </c>
      <c r="K20" s="50">
        <f>J20*(VLOOKUP(OpdateretÅrstal,Prislistetillæg!$A$5:$C$61,3,FALSE)/VLOOKUP(Produktionsår,Prislistetillæg!$A$5:$C$61,3,FALSE))</f>
        <v>95.22528763889764</v>
      </c>
    </row>
    <row r="21" spans="1:11" x14ac:dyDescent="0.3">
      <c r="B21" s="26" t="s">
        <v>58</v>
      </c>
      <c r="C21" s="97" t="s">
        <v>59</v>
      </c>
      <c r="D21" s="97"/>
      <c r="E21" s="97"/>
      <c r="F21" s="97"/>
      <c r="G21" s="97"/>
      <c r="H21" s="97"/>
      <c r="I21" s="28">
        <v>5.79</v>
      </c>
      <c r="J21" s="31">
        <f>C6*2*I21</f>
        <v>231.6</v>
      </c>
      <c r="K21" s="50">
        <f>J21*(VLOOKUP(OpdateretÅrstal,Prislistetillæg!$A$5:$C$61,3,FALSE)/VLOOKUP(Produktionsår,Prislistetillæg!$A$5:$C$61,3,FALSE))</f>
        <v>378.9377425630359</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6599.8240000000005</v>
      </c>
      <c r="K27" s="48">
        <f>J27*(VLOOKUP(OpdateretÅrstal,Prislistetillæg!$A$5:$C$61,3,FALSE)/VLOOKUP(Produktionsår,Prislistetillæg!$A$5:$C$61,3,FALSE))</f>
        <v>10798.455992544672</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91.664222222222236</v>
      </c>
      <c r="K29" s="49">
        <f>J29*(VLOOKUP(OpdateretÅrstal,Prislistetillæg!$A$5:$C$61,3,FALSE)/VLOOKUP(Produktionsår,Prislistetillæg!$A$5:$C$61,3,FALSE))</f>
        <v>149.97855545200935</v>
      </c>
    </row>
    <row r="32" spans="1:11" x14ac:dyDescent="0.3">
      <c r="A32" t="s">
        <v>70</v>
      </c>
    </row>
    <row r="33" spans="1:1" x14ac:dyDescent="0.3">
      <c r="A33" t="s">
        <v>71</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19:H19"/>
    <mergeCell ref="C20:H20"/>
    <mergeCell ref="C21:H21"/>
    <mergeCell ref="C10:H10"/>
    <mergeCell ref="A1:K1"/>
    <mergeCell ref="A6:B6"/>
    <mergeCell ref="D6:E6"/>
    <mergeCell ref="G6:I6"/>
    <mergeCell ref="C9:H9"/>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44">
    <tabColor rgb="FF0070C0"/>
  </sheetPr>
  <dimension ref="A1:K44"/>
  <sheetViews>
    <sheetView workbookViewId="0">
      <selection activeCell="N17" sqref="N17"/>
    </sheetView>
  </sheetViews>
  <sheetFormatPr defaultRowHeight="13.5" x14ac:dyDescent="0.3"/>
  <cols>
    <col min="9" max="9" width="9.4609375" bestFit="1" customWidth="1"/>
    <col min="10" max="11" width="13.23046875" bestFit="1" customWidth="1"/>
  </cols>
  <sheetData>
    <row r="1" spans="1:11" ht="14" thickBot="1" x14ac:dyDescent="0.35">
      <c r="A1" s="122" t="s">
        <v>129</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20</v>
      </c>
      <c r="D6" s="102" t="s">
        <v>32</v>
      </c>
      <c r="E6" s="103"/>
      <c r="F6" s="34">
        <v>5</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2760</v>
      </c>
      <c r="K11" s="50">
        <f>J11*(VLOOKUP(OpdateretÅrstal,Prislistetillæg!$A$5:$C$61,3,FALSE)/VLOOKUP(Produktionsår,Prislistetillæg!$A$5:$C$61,3,FALSE))</f>
        <v>4515.8383828755577</v>
      </c>
    </row>
    <row r="12" spans="1:11" ht="25.5" customHeight="1" x14ac:dyDescent="0.3">
      <c r="B12" s="26" t="s">
        <v>42</v>
      </c>
      <c r="C12" s="101" t="s">
        <v>43</v>
      </c>
      <c r="D12" s="101"/>
      <c r="E12" s="101"/>
      <c r="F12" s="101"/>
      <c r="G12" s="101"/>
      <c r="H12" s="101"/>
      <c r="I12" s="28">
        <v>7.33</v>
      </c>
      <c r="J12" s="38">
        <f>($C$6*$F$6)*I12</f>
        <v>733</v>
      </c>
      <c r="K12" s="50">
        <f>J12*(VLOOKUP(OpdateretÅrstal,Prislistetillæg!$A$5:$C$61,3,FALSE)/VLOOKUP(Produktionsår,Prislistetillæg!$A$5:$C$61,3,FALSE))</f>
        <v>1199.3150487854289</v>
      </c>
    </row>
    <row r="13" spans="1:11" x14ac:dyDescent="0.3">
      <c r="B13" s="26" t="s">
        <v>44</v>
      </c>
      <c r="C13" s="101" t="s">
        <v>45</v>
      </c>
      <c r="D13" s="101"/>
      <c r="E13" s="101"/>
      <c r="F13" s="101"/>
      <c r="G13" s="101"/>
      <c r="H13" s="101"/>
      <c r="I13" s="28">
        <v>14.89</v>
      </c>
      <c r="J13" s="39">
        <f>($C$6*$F$6)*2*I13</f>
        <v>2978</v>
      </c>
      <c r="K13" s="50">
        <f>J13*(VLOOKUP(OpdateretÅrstal,Prislistetillæg!$A$5:$C$61,3,FALSE)/VLOOKUP(Produktionsår,Prislistetillæg!$A$5:$C$61,3,FALSE))</f>
        <v>4872.5241681896414</v>
      </c>
    </row>
    <row r="14" spans="1:11" ht="25.5" customHeight="1" x14ac:dyDescent="0.3">
      <c r="B14" s="26" t="s">
        <v>46</v>
      </c>
      <c r="C14" s="101" t="s">
        <v>47</v>
      </c>
      <c r="D14" s="101"/>
      <c r="E14" s="101"/>
      <c r="F14" s="101"/>
      <c r="G14" s="101"/>
      <c r="H14" s="101"/>
      <c r="I14" s="28">
        <v>9.36</v>
      </c>
      <c r="J14" s="39">
        <f>($C$6*$F$6)*2*I14</f>
        <v>1872</v>
      </c>
      <c r="K14" s="50">
        <f>J14*(VLOOKUP(OpdateretÅrstal,Prislistetillæg!$A$5:$C$61,3,FALSE)/VLOOKUP(Produktionsår,Prislistetillæg!$A$5:$C$61,3,FALSE))</f>
        <v>3062.9164683851609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229.60000000000002</v>
      </c>
      <c r="K17" s="50">
        <f>J17*(VLOOKUP(OpdateretÅrstal,Prislistetillæg!$A$5:$C$61,3,FALSE)/VLOOKUP(Produktionsår,Prislistetillæg!$A$5:$C$61,3,FALSE))</f>
        <v>375.66539590877829</v>
      </c>
    </row>
    <row r="18" spans="1:11" ht="26.25" customHeight="1" x14ac:dyDescent="0.3">
      <c r="B18" s="26" t="s">
        <v>54</v>
      </c>
      <c r="C18" s="97" t="s">
        <v>55</v>
      </c>
      <c r="D18" s="97"/>
      <c r="E18" s="97"/>
      <c r="F18" s="97"/>
      <c r="G18" s="97"/>
      <c r="H18" s="97"/>
      <c r="I18" s="28">
        <v>3.91</v>
      </c>
      <c r="J18" s="52">
        <f>2*(2*(C6+F6))*I18</f>
        <v>391</v>
      </c>
      <c r="K18" s="50">
        <f>J18*(VLOOKUP(OpdateretÅrstal,Prislistetillæg!$A$5:$C$61,3,FALSE)/VLOOKUP(Produktionsår,Prislistetillæg!$A$5:$C$61,3,FALSE))</f>
        <v>639.74377090737062</v>
      </c>
    </row>
    <row r="19" spans="1:11" ht="12.75" customHeight="1" x14ac:dyDescent="0.3">
      <c r="B19" s="26" t="s">
        <v>98</v>
      </c>
      <c r="C19" s="110" t="s">
        <v>99</v>
      </c>
      <c r="D19" s="111"/>
      <c r="E19" s="111"/>
      <c r="F19" s="111"/>
      <c r="G19" s="111"/>
      <c r="H19" s="112"/>
      <c r="I19" s="73">
        <v>5.0000000000000001E-3</v>
      </c>
      <c r="J19" s="72">
        <f>(SUM(J11:J18)/100)*0.5</f>
        <v>45.3628</v>
      </c>
      <c r="K19" s="50">
        <f>J19*(VLOOKUP(OpdateretÅrstal,Prislistetillæg!$A$5:$C$61,3,FALSE)/VLOOKUP(Produktionsår,Prislistetillæg!$A$5:$C$61,3,FALSE))</f>
        <v>74.221403403879478</v>
      </c>
    </row>
    <row r="20" spans="1:11" x14ac:dyDescent="0.3">
      <c r="B20" s="26" t="s">
        <v>56</v>
      </c>
      <c r="C20" s="97" t="s">
        <v>57</v>
      </c>
      <c r="D20" s="97"/>
      <c r="E20" s="97"/>
      <c r="F20" s="97"/>
      <c r="G20" s="97"/>
      <c r="H20" s="97"/>
      <c r="I20" s="28">
        <v>5.32</v>
      </c>
      <c r="J20" s="51">
        <f>C6*I20</f>
        <v>106.4</v>
      </c>
      <c r="K20" s="50">
        <f>J20*(VLOOKUP(OpdateretÅrstal,Prislistetillæg!$A$5:$C$61,3,FALSE)/VLOOKUP(Produktionsår,Prislistetillæg!$A$5:$C$61,3,FALSE))</f>
        <v>174.08884200650701</v>
      </c>
    </row>
    <row r="21" spans="1:11" x14ac:dyDescent="0.3">
      <c r="B21" s="26" t="s">
        <v>58</v>
      </c>
      <c r="C21" s="97" t="s">
        <v>59</v>
      </c>
      <c r="D21" s="97"/>
      <c r="E21" s="97"/>
      <c r="F21" s="97"/>
      <c r="G21" s="97"/>
      <c r="H21" s="97"/>
      <c r="I21" s="28">
        <v>10.63</v>
      </c>
      <c r="J21" s="31">
        <f>C6*2*I21</f>
        <v>425.20000000000005</v>
      </c>
      <c r="K21" s="50">
        <f>J21*(VLOOKUP(OpdateretÅrstal,Prislistetillæg!$A$5:$C$61,3,FALSE)/VLOOKUP(Produktionsår,Prislistetillæg!$A$5:$C$61,3,FALSE))</f>
        <v>695.70089869517653</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(2*I25)*8</f>
        <v>92.16</v>
      </c>
      <c r="K25" s="50">
        <f>J25*(VLOOKUP(OpdateretÅrstal,Prislistetillæg!$A$5:$C$61,3,FALSE)/VLOOKUP(Produktionsår,Prislistetillæg!$A$5:$C$61,3,FALSE))</f>
        <v>150.78973382819254</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SUM(J11:J18)</f>
        <v>9072.56</v>
      </c>
      <c r="K27" s="48">
        <f>J27*(VLOOKUP(OpdateretÅrstal,Prislistetillæg!$A$5:$C$61,3,FALSE)/VLOOKUP(Produktionsår,Prislistetillæg!$A$5:$C$61,3,FALSE))</f>
        <v>14844.280680775893</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90.7256</v>
      </c>
      <c r="K29" s="49">
        <f>J29*(VLOOKUP(OpdateretÅrstal,Prislistetillæg!$A$5:$C$61,3,FALSE)/VLOOKUP(Produktionsår,Prislistetillæg!$A$5:$C$61,3,FALSE))</f>
        <v>148.44280680775896</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row r="44" spans="1:4" x14ac:dyDescent="0.3">
      <c r="D44" t="s">
        <v>100</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20:H20"/>
    <mergeCell ref="C21:H21"/>
    <mergeCell ref="C19:H19"/>
    <mergeCell ref="C10:H10"/>
    <mergeCell ref="A1:K1"/>
    <mergeCell ref="A6:B6"/>
    <mergeCell ref="D6:E6"/>
    <mergeCell ref="G6:I6"/>
    <mergeCell ref="C9:H9"/>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45">
    <tabColor rgb="FF0070C0"/>
  </sheetPr>
  <dimension ref="A1:K43"/>
  <sheetViews>
    <sheetView workbookViewId="0">
      <selection activeCell="N17" sqref="N17"/>
    </sheetView>
  </sheetViews>
  <sheetFormatPr defaultRowHeight="13.5" x14ac:dyDescent="0.3"/>
  <cols>
    <col min="9" max="9" width="10.4609375" bestFit="1" customWidth="1"/>
    <col min="10" max="11" width="13.23046875" bestFit="1" customWidth="1"/>
  </cols>
  <sheetData>
    <row r="1" spans="1:11" ht="14" thickBot="1" x14ac:dyDescent="0.35">
      <c r="A1" s="122" t="s">
        <v>130</v>
      </c>
      <c r="B1" s="123"/>
      <c r="C1" s="123"/>
      <c r="D1" s="123"/>
      <c r="E1" s="123"/>
      <c r="F1" s="123"/>
      <c r="G1" s="123"/>
      <c r="H1" s="123"/>
      <c r="I1" s="123"/>
      <c r="J1" s="123"/>
      <c r="K1" s="124"/>
    </row>
    <row r="3" spans="1:11" x14ac:dyDescent="0.3">
      <c r="A3" t="s">
        <v>29</v>
      </c>
      <c r="D3" s="36">
        <v>2014</v>
      </c>
      <c r="E3" t="s">
        <v>30</v>
      </c>
    </row>
    <row r="6" spans="1:11" x14ac:dyDescent="0.3">
      <c r="A6" s="102" t="s">
        <v>31</v>
      </c>
      <c r="B6" s="103"/>
      <c r="C6" s="34">
        <v>20</v>
      </c>
      <c r="D6" s="102" t="s">
        <v>32</v>
      </c>
      <c r="E6" s="103"/>
      <c r="F6" s="34">
        <v>6.8</v>
      </c>
      <c r="G6" s="102" t="s">
        <v>33</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27.6</v>
      </c>
      <c r="J11" s="37">
        <f>($C$6*$F$6)*I11</f>
        <v>3753.6000000000004</v>
      </c>
      <c r="K11" s="50">
        <f>J11*(VLOOKUP(OpdateretÅrstal,Prislistetillæg!$A$5:$C$61,3,FALSE)/VLOOKUP(Produktionsår,Prislistetillæg!$A$5:$C$61,3,FALSE))</f>
        <v>6141.5402007107587</v>
      </c>
    </row>
    <row r="12" spans="1:11" ht="24.75" customHeight="1" x14ac:dyDescent="0.3">
      <c r="B12" s="26" t="s">
        <v>42</v>
      </c>
      <c r="C12" s="101" t="s">
        <v>43</v>
      </c>
      <c r="D12" s="101"/>
      <c r="E12" s="101"/>
      <c r="F12" s="101"/>
      <c r="G12" s="101"/>
      <c r="H12" s="101"/>
      <c r="I12" s="28">
        <v>7.33</v>
      </c>
      <c r="J12" s="38">
        <f>($C$6*$F$6)*I12</f>
        <v>996.88</v>
      </c>
      <c r="K12" s="50">
        <f>J12*(VLOOKUP(OpdateretÅrstal,Prislistetillæg!$A$5:$C$61,3,FALSE)/VLOOKUP(Produktionsår,Prislistetillæg!$A$5:$C$61,3,FALSE))</f>
        <v>1631.0684663481834</v>
      </c>
    </row>
    <row r="13" spans="1:11" x14ac:dyDescent="0.3">
      <c r="B13" s="26" t="s">
        <v>44</v>
      </c>
      <c r="C13" s="101" t="s">
        <v>45</v>
      </c>
      <c r="D13" s="101"/>
      <c r="E13" s="101"/>
      <c r="F13" s="101"/>
      <c r="G13" s="101"/>
      <c r="H13" s="101"/>
      <c r="I13" s="28">
        <v>14.89</v>
      </c>
      <c r="J13" s="39">
        <f>($C$6*$F$6)*2*I13</f>
        <v>4050.08</v>
      </c>
      <c r="K13" s="50">
        <f>J13*(VLOOKUP(OpdateretÅrstal,Prislistetillæg!$A$5:$C$61,3,FALSE)/VLOOKUP(Produktionsår,Prislistetillæg!$A$5:$C$61,3,FALSE))</f>
        <v>6626.6328687379128</v>
      </c>
    </row>
    <row r="14" spans="1:11" ht="26.25" customHeight="1" x14ac:dyDescent="0.3">
      <c r="B14" s="26" t="s">
        <v>46</v>
      </c>
      <c r="C14" s="101" t="s">
        <v>47</v>
      </c>
      <c r="D14" s="101"/>
      <c r="E14" s="101"/>
      <c r="F14" s="101"/>
      <c r="G14" s="101"/>
      <c r="H14" s="101"/>
      <c r="I14" s="28">
        <v>9.36</v>
      </c>
      <c r="J14" s="39">
        <f>($C$6*$F$6)*2*I14</f>
        <v>2545.92</v>
      </c>
      <c r="K14" s="50">
        <f>J14*(VLOOKUP(OpdateretÅrstal,Prislistetillæg!$A$5:$C$61,3,FALSE)/VLOOKUP(Produktionsår,Prislistetillæg!$A$5:$C$61,3,FALSE))</f>
        <v>4165.5663970038186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4*C6*I17</f>
        <v>229.60000000000002</v>
      </c>
      <c r="K17" s="50">
        <f>J17*(VLOOKUP(OpdateretÅrstal,Prislistetillæg!$A$5:$C$61,3,FALSE)/VLOOKUP(Produktionsår,Prislistetillæg!$A$5:$C$61,3,FALSE))</f>
        <v>375.66539590877829</v>
      </c>
    </row>
    <row r="18" spans="1:11" ht="27" customHeight="1" x14ac:dyDescent="0.3">
      <c r="B18" s="26" t="s">
        <v>54</v>
      </c>
      <c r="C18" s="97" t="s">
        <v>55</v>
      </c>
      <c r="D18" s="97"/>
      <c r="E18" s="97"/>
      <c r="F18" s="97"/>
      <c r="G18" s="97"/>
      <c r="H18" s="97"/>
      <c r="I18" s="28">
        <v>3.91</v>
      </c>
      <c r="J18" s="52">
        <f>2*(2*(C6+F6))*I18</f>
        <v>419.15200000000004</v>
      </c>
      <c r="K18" s="50">
        <f>J18*(VLOOKUP(OpdateretÅrstal,Prislistetillæg!$A$5:$C$61,3,FALSE)/VLOOKUP(Produktionsår,Prislistetillæg!$A$5:$C$61,3,FALSE))</f>
        <v>685.80532241270146</v>
      </c>
    </row>
    <row r="19" spans="1:11" ht="12.75" customHeight="1" x14ac:dyDescent="0.3">
      <c r="B19" s="26" t="s">
        <v>98</v>
      </c>
      <c r="C19" s="110" t="s">
        <v>99</v>
      </c>
      <c r="D19" s="111"/>
      <c r="E19" s="111"/>
      <c r="F19" s="111"/>
      <c r="G19" s="111"/>
      <c r="H19" s="112"/>
      <c r="I19" s="73">
        <v>0.01</v>
      </c>
      <c r="J19" s="72">
        <f>(SUM(J11:J18)/100)</f>
        <v>121.04192</v>
      </c>
      <c r="K19" s="50">
        <f>J19*(VLOOKUP(OpdateretÅrstal,Prislistetillæg!$A$5:$C$61,3,FALSE)/VLOOKUP(Produktionsår,Prislistetillæg!$A$5:$C$61,3,FALSE))</f>
        <v>198.0455609684611</v>
      </c>
    </row>
    <row r="20" spans="1:11" ht="12.75" customHeight="1" x14ac:dyDescent="0.3">
      <c r="B20" s="26" t="s">
        <v>56</v>
      </c>
      <c r="C20" s="97" t="s">
        <v>57</v>
      </c>
      <c r="D20" s="97"/>
      <c r="E20" s="97"/>
      <c r="F20" s="97"/>
      <c r="G20" s="97"/>
      <c r="H20" s="97"/>
      <c r="I20" s="28">
        <v>8.2200000000000006</v>
      </c>
      <c r="J20" s="51">
        <f>C6*I20</f>
        <v>164.4</v>
      </c>
      <c r="K20" s="50">
        <f>J20*(VLOOKUP(OpdateretÅrstal,Prislistetillæg!$A$5:$C$61,3,FALSE)/VLOOKUP(Produktionsår,Prislistetillæg!$A$5:$C$61,3,FALSE))</f>
        <v>268.9868949799789</v>
      </c>
    </row>
    <row r="21" spans="1:11" ht="12.75" customHeight="1" x14ac:dyDescent="0.3">
      <c r="B21" s="26" t="s">
        <v>58</v>
      </c>
      <c r="C21" s="97" t="s">
        <v>59</v>
      </c>
      <c r="D21" s="97"/>
      <c r="E21" s="97"/>
      <c r="F21" s="97"/>
      <c r="G21" s="97"/>
      <c r="H21" s="97"/>
      <c r="I21" s="28">
        <v>16.43</v>
      </c>
      <c r="J21" s="31">
        <f>C6*2*I21</f>
        <v>657.2</v>
      </c>
      <c r="K21" s="50">
        <f>J21*(VLOOKUP(OpdateretÅrstal,Prislistetillæg!$A$5:$C$61,3,FALSE)/VLOOKUP(Produktionsår,Prislistetillæg!$A$5:$C$61,3,FALSE))</f>
        <v>1075.2931105890641</v>
      </c>
    </row>
    <row r="22" spans="1:11" x14ac:dyDescent="0.3">
      <c r="B22" s="26" t="s">
        <v>60</v>
      </c>
      <c r="C22" s="110" t="s">
        <v>61</v>
      </c>
      <c r="D22" s="111"/>
      <c r="E22" s="111"/>
      <c r="F22" s="111"/>
      <c r="G22" s="111"/>
      <c r="H22" s="112"/>
      <c r="I22" s="28">
        <v>32.729999999999997</v>
      </c>
      <c r="J22" s="38">
        <f>(2*I22)*3.2</f>
        <v>209.47199999999998</v>
      </c>
      <c r="K22" s="50">
        <f>J22*(VLOOKUP(OpdateretÅrstal,Prislistetillæg!$A$5:$C$61,3,FALSE)/VLOOKUP(Produktionsår,Prislistetillæg!$A$5:$C$61,3,FALSE))</f>
        <v>342.73249918032923</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59.4512</v>
      </c>
      <c r="K24" s="50">
        <f>J24*(VLOOKUP(OpdateretÅrstal,Prislistetillæg!$A$5:$C$61,3,FALSE)/VLOOKUP(Produktionsår,Prislistetillæg!$A$5:$C$61,3,FALSE))</f>
        <v>97.272467705801219</v>
      </c>
    </row>
    <row r="25" spans="1:11" ht="24.75" customHeight="1" x14ac:dyDescent="0.3">
      <c r="B25" s="26" t="s">
        <v>66</v>
      </c>
      <c r="C25" s="110" t="s">
        <v>67</v>
      </c>
      <c r="D25" s="111"/>
      <c r="E25" s="111"/>
      <c r="F25" s="111"/>
      <c r="G25" s="111"/>
      <c r="H25" s="112"/>
      <c r="I25" s="28">
        <v>5.76</v>
      </c>
      <c r="J25" s="38">
        <f>(2*I25)*8</f>
        <v>92.16</v>
      </c>
      <c r="K25" s="50">
        <f>J25*(VLOOKUP(OpdateretÅrstal,Prislistetillæg!$A$5:$C$61,3,FALSE)/VLOOKUP(Produktionsår,Prislistetillæg!$A$5:$C$61,3,FALSE))</f>
        <v>150.78973382819254</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SUM(J11:J18)</f>
        <v>12104.192000000001</v>
      </c>
      <c r="K27" s="48">
        <f>J27*(VLOOKUP(OpdateretÅrstal,Prislistetillæg!$A$5:$C$61,3,FALSE)/VLOOKUP(Produktionsår,Prislistetillæg!$A$5:$C$61,3,FALSE))</f>
        <v>19804.55609684611</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89.001411764705892</v>
      </c>
      <c r="K29" s="49">
        <f>J29*(VLOOKUP(OpdateretÅrstal,Prislistetillæg!$A$5:$C$61,3,FALSE)/VLOOKUP(Produktionsår,Prislistetillæg!$A$5:$C$61,3,FALSE))</f>
        <v>145.6217360062214</v>
      </c>
    </row>
    <row r="30" spans="1:11" ht="12.75" customHeight="1" x14ac:dyDescent="0.3"/>
    <row r="31" spans="1:11" ht="12.75" customHeight="1" x14ac:dyDescent="0.3"/>
    <row r="32" spans="1:11" ht="12.75" customHeight="1" x14ac:dyDescent="0.3">
      <c r="A32" t="s">
        <v>70</v>
      </c>
    </row>
    <row r="33" spans="1:4" x14ac:dyDescent="0.3">
      <c r="A33" t="s">
        <v>71</v>
      </c>
    </row>
    <row r="35" spans="1:4" x14ac:dyDescent="0.3">
      <c r="A35" t="s">
        <v>75</v>
      </c>
      <c r="D35" t="s">
        <v>84</v>
      </c>
    </row>
    <row r="36" spans="1:4" x14ac:dyDescent="0.3">
      <c r="D36" t="s">
        <v>85</v>
      </c>
    </row>
    <row r="37" spans="1:4" x14ac:dyDescent="0.3">
      <c r="D37" t="s">
        <v>86</v>
      </c>
    </row>
    <row r="39" spans="1:4" x14ac:dyDescent="0.3">
      <c r="A39" t="s">
        <v>79</v>
      </c>
      <c r="D39" t="s">
        <v>80</v>
      </c>
    </row>
    <row r="40" spans="1:4" x14ac:dyDescent="0.3">
      <c r="D40" t="s">
        <v>81</v>
      </c>
    </row>
    <row r="42" spans="1:4" x14ac:dyDescent="0.3">
      <c r="D42" t="s">
        <v>82</v>
      </c>
    </row>
    <row r="43" spans="1:4" x14ac:dyDescent="0.3">
      <c r="D43" t="s">
        <v>100</v>
      </c>
    </row>
  </sheetData>
  <mergeCells count="25">
    <mergeCell ref="C29:H29"/>
    <mergeCell ref="C23:H23"/>
    <mergeCell ref="C24:H24"/>
    <mergeCell ref="C25:H25"/>
    <mergeCell ref="C26:H26"/>
    <mergeCell ref="C27:H27"/>
    <mergeCell ref="C28:H28"/>
    <mergeCell ref="C22:H22"/>
    <mergeCell ref="C11:H11"/>
    <mergeCell ref="C12:H12"/>
    <mergeCell ref="C13:H13"/>
    <mergeCell ref="C14:H14"/>
    <mergeCell ref="C15:H15"/>
    <mergeCell ref="C16:H16"/>
    <mergeCell ref="C17:H17"/>
    <mergeCell ref="C18:H18"/>
    <mergeCell ref="C20:H20"/>
    <mergeCell ref="C21:H21"/>
    <mergeCell ref="C19:H19"/>
    <mergeCell ref="C10:H10"/>
    <mergeCell ref="A1:K1"/>
    <mergeCell ref="A6:B6"/>
    <mergeCell ref="D6:E6"/>
    <mergeCell ref="G6:I6"/>
    <mergeCell ref="C9:H9"/>
  </mergeCell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46">
    <tabColor theme="9" tint="-0.249977111117893"/>
  </sheetPr>
  <dimension ref="A1:K33"/>
  <sheetViews>
    <sheetView workbookViewId="0">
      <selection activeCell="N17" sqref="N17"/>
    </sheetView>
  </sheetViews>
  <sheetFormatPr defaultRowHeight="13.5" x14ac:dyDescent="0.3"/>
  <cols>
    <col min="9" max="10" width="10.4609375" customWidth="1"/>
    <col min="11" max="11" width="12" customWidth="1"/>
  </cols>
  <sheetData>
    <row r="1" spans="1:11" ht="14" thickBot="1" x14ac:dyDescent="0.35">
      <c r="A1" s="125" t="s">
        <v>131</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v>
      </c>
      <c r="D6" s="102" t="s">
        <v>32</v>
      </c>
      <c r="E6" s="103"/>
      <c r="F6" s="34">
        <v>2.4</v>
      </c>
      <c r="G6" s="102" t="s">
        <v>132</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122.35199999999999</v>
      </c>
      <c r="K11" s="50">
        <f>J11*(VLOOKUP(OpdateretÅrstal,Prislistetillæg!$A$5:$C$61,3,FALSE)/VLOOKUP(Produktionsår,Prislistetillæg!$A$5:$C$61,3,FALSE))</f>
        <v>200.189078920866</v>
      </c>
    </row>
    <row r="12" spans="1:11" ht="24.75" customHeight="1" x14ac:dyDescent="0.3">
      <c r="B12" s="26" t="s">
        <v>42</v>
      </c>
      <c r="C12" s="101" t="s">
        <v>43</v>
      </c>
      <c r="D12" s="101"/>
      <c r="E12" s="101"/>
      <c r="F12" s="101"/>
      <c r="G12" s="101"/>
      <c r="H12" s="101"/>
      <c r="I12" s="28">
        <v>7.33</v>
      </c>
      <c r="J12" s="38">
        <f>($C$6*$F$6)*I12</f>
        <v>35.183999999999997</v>
      </c>
      <c r="K12" s="50">
        <f>J12*(VLOOKUP(OpdateretÅrstal,Prislistetillæg!$A$5:$C$61,3,FALSE)/VLOOKUP(Produktionsår,Prislistetillæg!$A$5:$C$61,3,FALSE))</f>
        <v>57.567122341700582</v>
      </c>
    </row>
    <row r="13" spans="1:11" x14ac:dyDescent="0.3">
      <c r="B13" s="26" t="s">
        <v>44</v>
      </c>
      <c r="C13" s="101" t="s">
        <v>45</v>
      </c>
      <c r="D13" s="101"/>
      <c r="E13" s="101"/>
      <c r="F13" s="101"/>
      <c r="G13" s="101"/>
      <c r="H13" s="101"/>
      <c r="I13" s="28">
        <v>12.79</v>
      </c>
      <c r="J13" s="39">
        <f>($C$6*$F$6)*2*I13</f>
        <v>122.78399999999999</v>
      </c>
      <c r="K13" s="50">
        <f>J13*(VLOOKUP(OpdateretÅrstal,Prislistetillæg!$A$5:$C$61,3,FALSE)/VLOOKUP(Produktionsår,Prislistetillæg!$A$5:$C$61,3,FALSE))</f>
        <v>200.89590579818565</v>
      </c>
    </row>
    <row r="14" spans="1:11" ht="26.25" customHeight="1" x14ac:dyDescent="0.3">
      <c r="B14" s="26" t="s">
        <v>46</v>
      </c>
      <c r="C14" s="101" t="s">
        <v>47</v>
      </c>
      <c r="D14" s="101"/>
      <c r="E14" s="101"/>
      <c r="F14" s="101"/>
      <c r="G14" s="101"/>
      <c r="H14" s="101"/>
      <c r="I14" s="28">
        <v>9.36</v>
      </c>
      <c r="J14" s="39">
        <f>($C$6*$F$6)*2*I14</f>
        <v>89.855999999999995</v>
      </c>
      <c r="K14" s="50">
        <f>J14*(VLOOKUP(OpdateretÅrstal,Prislistetillæg!$A$5:$C$61,3,FALSE)/VLOOKUP(Produktionsår,Prislistetillæg!$A$5:$C$61,3,FALSE))</f>
        <v>147.01999048248771</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68.816000000000003</v>
      </c>
      <c r="K19" s="50">
        <f>J19*(VLOOKUP(OpdateretÅrstal,Prislistetillæg!$A$5:$C$61,3,FALSE)/VLOOKUP(Produktionsår,Prislistetillæg!$A$5:$C$61,3,FALSE))</f>
        <v>112.59490367969724</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547.952</v>
      </c>
      <c r="K27" s="48">
        <f>J27*(VLOOKUP(OpdateretÅrstal,Prislistetillæg!$A$5:$C$61,3,FALSE)/VLOOKUP(Produktionsår,Prislistetillæg!$A$5:$C$61,3,FALSE))</f>
        <v>896.54444694689403</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114.15666666666667</v>
      </c>
      <c r="K29" s="49">
        <f>J29*(VLOOKUP(OpdateretÅrstal,Prislistetillæg!$A$5:$C$61,3,FALSE)/VLOOKUP(Produktionsår,Prislistetillæg!$A$5:$C$61,3,FALSE))</f>
        <v>186.78009311393626</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47">
    <tabColor theme="9" tint="-0.249977111117893"/>
  </sheetPr>
  <dimension ref="A1:K33"/>
  <sheetViews>
    <sheetView workbookViewId="0">
      <selection activeCell="N17" sqref="N17"/>
    </sheetView>
  </sheetViews>
  <sheetFormatPr defaultRowHeight="13.5" x14ac:dyDescent="0.3"/>
  <cols>
    <col min="9" max="10" width="10.4609375" customWidth="1"/>
    <col min="11" max="11" width="12" customWidth="1"/>
  </cols>
  <sheetData>
    <row r="1" spans="1:11" ht="14" thickBot="1" x14ac:dyDescent="0.35">
      <c r="A1" s="125" t="s">
        <v>133</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v>
      </c>
      <c r="D6" s="102" t="s">
        <v>32</v>
      </c>
      <c r="E6" s="103"/>
      <c r="F6" s="34">
        <v>2.8</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142.74399999999997</v>
      </c>
      <c r="K11" s="50">
        <f>J11*(VLOOKUP(OpdateretÅrstal,Prislistetillæg!$A$5:$C$61,3,FALSE)/VLOOKUP(Produktionsår,Prislistetillæg!$A$5:$C$61,3,FALSE))</f>
        <v>233.55392540767699</v>
      </c>
    </row>
    <row r="12" spans="1:11" ht="24.75" customHeight="1" x14ac:dyDescent="0.3">
      <c r="B12" s="26" t="s">
        <v>42</v>
      </c>
      <c r="C12" s="101" t="s">
        <v>43</v>
      </c>
      <c r="D12" s="101"/>
      <c r="E12" s="101"/>
      <c r="F12" s="101"/>
      <c r="G12" s="101"/>
      <c r="H12" s="101"/>
      <c r="I12" s="28">
        <v>7.33</v>
      </c>
      <c r="J12" s="38">
        <f>($C$6*$F$6)*I12</f>
        <v>41.047999999999995</v>
      </c>
      <c r="K12" s="50">
        <f>J12*(VLOOKUP(OpdateretÅrstal,Prislistetillæg!$A$5:$C$61,3,FALSE)/VLOOKUP(Produktionsår,Prislistetillæg!$A$5:$C$61,3,FALSE))</f>
        <v>67.161642731984003</v>
      </c>
    </row>
    <row r="13" spans="1:11" x14ac:dyDescent="0.3">
      <c r="B13" s="26" t="s">
        <v>44</v>
      </c>
      <c r="C13" s="101" t="s">
        <v>45</v>
      </c>
      <c r="D13" s="101"/>
      <c r="E13" s="101"/>
      <c r="F13" s="101"/>
      <c r="G13" s="101"/>
      <c r="H13" s="101"/>
      <c r="I13" s="28">
        <v>12.79</v>
      </c>
      <c r="J13" s="39">
        <f>($C$6*$F$6)*2*I13</f>
        <v>143.24799999999999</v>
      </c>
      <c r="K13" s="50">
        <f>J13*(VLOOKUP(OpdateretÅrstal,Prislistetillæg!$A$5:$C$61,3,FALSE)/VLOOKUP(Produktionsår,Prislistetillæg!$A$5:$C$61,3,FALSE))</f>
        <v>234.37855676454996</v>
      </c>
    </row>
    <row r="14" spans="1:11" ht="26.25" customHeight="1" x14ac:dyDescent="0.3">
      <c r="B14" s="26" t="s">
        <v>46</v>
      </c>
      <c r="C14" s="101" t="s">
        <v>47</v>
      </c>
      <c r="D14" s="101"/>
      <c r="E14" s="101"/>
      <c r="F14" s="101"/>
      <c r="G14" s="101"/>
      <c r="H14" s="101"/>
      <c r="I14" s="28">
        <v>9.36</v>
      </c>
      <c r="J14" s="39">
        <f>($C$6*$F$6)*2*I14</f>
        <v>104.83199999999999</v>
      </c>
      <c r="K14" s="50">
        <f>J14*(VLOOKUP(OpdateretÅrstal,Prislistetillæg!$A$5:$C$61,3,FALSE)/VLOOKUP(Produktionsår,Prislistetillæg!$A$5:$C$61,3,FALSE))</f>
        <v>171.523322229569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11.48</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75.072000000000003</v>
      </c>
      <c r="K19" s="50">
        <f>J19*(VLOOKUP(OpdateretÅrstal,Prislistetillæg!$A$5:$C$61,3,FALSE)/VLOOKUP(Produktionsår,Prislistetillæg!$A$5:$C$61,3,FALSE))</f>
        <v>122.83080401421518</v>
      </c>
    </row>
    <row r="20" spans="1:11" ht="12.75" customHeight="1" x14ac:dyDescent="0.3">
      <c r="B20" s="26" t="s">
        <v>56</v>
      </c>
      <c r="C20" s="97" t="s">
        <v>57</v>
      </c>
      <c r="D20" s="97"/>
      <c r="E20" s="97"/>
      <c r="F20" s="97"/>
      <c r="G20" s="97"/>
      <c r="H20" s="97"/>
      <c r="I20" s="28">
        <v>1.93</v>
      </c>
      <c r="J20" s="51">
        <f>C6*I20</f>
        <v>3.86</v>
      </c>
      <c r="K20" s="50">
        <f>J20*(VLOOKUP(OpdateretÅrstal,Prislistetillæg!$A$5:$C$61,3,FALSE)/VLOOKUP(Produktionsår,Prislistetillæg!$A$5:$C$61,3,FALSE))</f>
        <v>6.3156290427172657</v>
      </c>
    </row>
    <row r="21" spans="1:11" ht="12.75" customHeight="1" x14ac:dyDescent="0.3">
      <c r="B21" s="26" t="s">
        <v>58</v>
      </c>
      <c r="C21" s="97" t="s">
        <v>59</v>
      </c>
      <c r="D21" s="97"/>
      <c r="E21" s="97"/>
      <c r="F21" s="97"/>
      <c r="G21" s="97"/>
      <c r="H21" s="97"/>
      <c r="I21" s="28">
        <v>3.87</v>
      </c>
      <c r="J21" s="31">
        <f>C6*2*I21</f>
        <v>15.48</v>
      </c>
      <c r="K21" s="50">
        <f>J21*(VLOOKUP(OpdateretÅrstal,Prislistetillæg!$A$5:$C$61,3,FALSE)/VLOOKUP(Produktionsår,Prislistetillæg!$A$5:$C$61,3,FALSE))</f>
        <v>25.327963103954215</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627.3839999999999</v>
      </c>
      <c r="K27" s="48">
        <f>J27*(VLOOKUP(OpdateretÅrstal,Prislistetillæg!$A$5:$C$61,3,FALSE)/VLOOKUP(Produktionsår,Prislistetillæg!$A$5:$C$61,3,FALSE))</f>
        <v>1026.5089666673907</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112.03285714285714</v>
      </c>
      <c r="K29" s="49">
        <f>J29*(VLOOKUP(OpdateretÅrstal,Prislistetillæg!$A$5:$C$61,3,FALSE)/VLOOKUP(Produktionsår,Prislistetillæg!$A$5:$C$61,3,FALSE))</f>
        <v>183.30517261917694</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48">
    <tabColor theme="9" tint="-0.249977111117893"/>
  </sheetPr>
  <dimension ref="A1:K33"/>
  <sheetViews>
    <sheetView workbookViewId="0">
      <selection activeCell="N17" sqref="N17"/>
    </sheetView>
  </sheetViews>
  <sheetFormatPr defaultRowHeight="13.5" x14ac:dyDescent="0.3"/>
  <cols>
    <col min="9" max="9" width="9.4609375" customWidth="1"/>
    <col min="10" max="11" width="10.4609375" customWidth="1"/>
  </cols>
  <sheetData>
    <row r="1" spans="1:11" ht="14" thickBot="1" x14ac:dyDescent="0.35">
      <c r="A1" s="125" t="s">
        <v>135</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v>
      </c>
      <c r="D6" s="102" t="s">
        <v>32</v>
      </c>
      <c r="E6" s="103"/>
      <c r="F6" s="34">
        <v>3.6</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183.52799999999999</v>
      </c>
      <c r="K11" s="50">
        <f>J11*(VLOOKUP(OpdateretÅrstal,Prislistetillæg!$A$5:$C$61,3,FALSE)/VLOOKUP(Produktionsår,Prislistetillæg!$A$5:$C$61,3,FALSE))</f>
        <v>300.28361838129905</v>
      </c>
    </row>
    <row r="12" spans="1:11" ht="25.5" customHeight="1" x14ac:dyDescent="0.3">
      <c r="B12" s="26" t="s">
        <v>42</v>
      </c>
      <c r="C12" s="101" t="s">
        <v>43</v>
      </c>
      <c r="D12" s="101"/>
      <c r="E12" s="101"/>
      <c r="F12" s="101"/>
      <c r="G12" s="101"/>
      <c r="H12" s="101"/>
      <c r="I12" s="28">
        <v>7.33</v>
      </c>
      <c r="J12" s="38">
        <f>($C$6*$F$6)*I12</f>
        <v>52.776000000000003</v>
      </c>
      <c r="K12" s="50">
        <f>J12*(VLOOKUP(OpdateretÅrstal,Prislistetillæg!$A$5:$C$61,3,FALSE)/VLOOKUP(Produktionsår,Prislistetillæg!$A$5:$C$61,3,FALSE))</f>
        <v>86.350683512550887</v>
      </c>
    </row>
    <row r="13" spans="1:11" x14ac:dyDescent="0.3">
      <c r="B13" s="26" t="s">
        <v>44</v>
      </c>
      <c r="C13" s="101" t="s">
        <v>45</v>
      </c>
      <c r="D13" s="101"/>
      <c r="E13" s="101"/>
      <c r="F13" s="101"/>
      <c r="G13" s="101"/>
      <c r="H13" s="101"/>
      <c r="I13" s="28">
        <v>12.79</v>
      </c>
      <c r="J13" s="39">
        <f>($C$6*$F$6)*2*I13</f>
        <v>184.17599999999999</v>
      </c>
      <c r="K13" s="50">
        <f>J13*(VLOOKUP(OpdateretÅrstal,Prislistetillæg!$A$5:$C$61,3,FALSE)/VLOOKUP(Produktionsår,Prislistetillæg!$A$5:$C$61,3,FALSE))</f>
        <v>301.34385869727851</v>
      </c>
    </row>
    <row r="14" spans="1:11" ht="26.25" customHeight="1" x14ac:dyDescent="0.3">
      <c r="B14" s="26" t="s">
        <v>46</v>
      </c>
      <c r="C14" s="101" t="s">
        <v>47</v>
      </c>
      <c r="D14" s="101"/>
      <c r="E14" s="101"/>
      <c r="F14" s="101"/>
      <c r="G14" s="101"/>
      <c r="H14" s="101"/>
      <c r="I14" s="28">
        <v>9.36</v>
      </c>
      <c r="J14" s="39">
        <f>($C$6*$F$6)*2*I14</f>
        <v>134.78399999999999</v>
      </c>
      <c r="K14" s="50">
        <f>J14*(VLOOKUP(OpdateretÅrstal,Prislistetillæg!$A$5:$C$61,3,FALSE)/VLOOKUP(Produktionsår,Prislistetillæg!$A$5:$C$61,3,FALSE))</f>
        <v>220.52998572373156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2*C6*I17</f>
        <v>11.48</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87.584000000000003</v>
      </c>
      <c r="K19" s="50">
        <f>J19*(VLOOKUP(OpdateretÅrstal,Prislistetillæg!$A$5:$C$61,3,FALSE)/VLOOKUP(Produktionsår,Prislistetillæg!$A$5:$C$61,3,FALSE))</f>
        <v>143.30260468325105</v>
      </c>
    </row>
    <row r="20" spans="1:11" x14ac:dyDescent="0.3">
      <c r="B20" s="26" t="s">
        <v>56</v>
      </c>
      <c r="C20" s="97" t="s">
        <v>57</v>
      </c>
      <c r="D20" s="97"/>
      <c r="E20" s="97"/>
      <c r="F20" s="97"/>
      <c r="G20" s="97"/>
      <c r="H20" s="97"/>
      <c r="I20" s="28">
        <v>2.91</v>
      </c>
      <c r="J20" s="51">
        <f>C6*I20</f>
        <v>5.82</v>
      </c>
      <c r="K20" s="50">
        <f>J20*(VLOOKUP(OpdateretÅrstal,Prislistetillæg!$A$5:$C$61,3,FALSE)/VLOOKUP(Produktionsår,Prislistetillæg!$A$5:$C$61,3,FALSE))</f>
        <v>9.5225287638897633</v>
      </c>
    </row>
    <row r="21" spans="1:11" x14ac:dyDescent="0.3">
      <c r="B21" s="26" t="s">
        <v>58</v>
      </c>
      <c r="C21" s="97" t="s">
        <v>59</v>
      </c>
      <c r="D21" s="97"/>
      <c r="E21" s="97"/>
      <c r="F21" s="97"/>
      <c r="G21" s="97"/>
      <c r="H21" s="97"/>
      <c r="I21" s="28">
        <v>5.79</v>
      </c>
      <c r="J21" s="31">
        <f>C6*2*I21</f>
        <v>23.16</v>
      </c>
      <c r="K21" s="50">
        <f>J21*(VLOOKUP(OpdateretÅrstal,Prislistetillæg!$A$5:$C$61,3,FALSE)/VLOOKUP(Produktionsår,Prislistetillæg!$A$5:$C$61,3,FALSE))</f>
        <v>37.893774256303594</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763.28800000000001</v>
      </c>
      <c r="K27" s="48">
        <f>J27*(VLOOKUP(OpdateretÅrstal,Prislistetillæg!$A$5:$C$61,3,FALSE)/VLOOKUP(Produktionsår,Prislistetillæg!$A$5:$C$61,3,FALSE))</f>
        <v>1248.8714665175069</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106.01222222222222</v>
      </c>
      <c r="K29" s="49">
        <f>J29*(VLOOKUP(OpdateretÅrstal,Prislistetillæg!$A$5:$C$61,3,FALSE)/VLOOKUP(Produktionsår,Prislistetillæg!$A$5:$C$61,3,FALSE))</f>
        <v>173.45437034965371</v>
      </c>
    </row>
    <row r="32" spans="1:11" x14ac:dyDescent="0.3">
      <c r="A32" t="s">
        <v>70</v>
      </c>
    </row>
    <row r="33" spans="1:1" x14ac:dyDescent="0.3">
      <c r="A33" t="s">
        <v>71</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49">
    <tabColor theme="9" tint="-0.249977111117893"/>
  </sheetPr>
  <dimension ref="A1:K43"/>
  <sheetViews>
    <sheetView workbookViewId="0">
      <selection activeCell="N17" sqref="N17"/>
    </sheetView>
  </sheetViews>
  <sheetFormatPr defaultRowHeight="13.5" x14ac:dyDescent="0.3"/>
  <cols>
    <col min="9" max="9" width="9.4609375" customWidth="1"/>
    <col min="10" max="11" width="12.15234375" customWidth="1"/>
  </cols>
  <sheetData>
    <row r="1" spans="1:11" ht="14" thickBot="1" x14ac:dyDescent="0.35">
      <c r="A1" s="125" t="s">
        <v>136</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v>
      </c>
      <c r="D6" s="102" t="s">
        <v>32</v>
      </c>
      <c r="E6" s="103"/>
      <c r="F6" s="34">
        <v>5</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254.89999999999998</v>
      </c>
      <c r="K11" s="50">
        <f>J11*(VLOOKUP(OpdateretÅrstal,Prislistetillæg!$A$5:$C$61,3,FALSE)/VLOOKUP(Produktionsår,Prislistetillæg!$A$5:$C$61,3,FALSE))</f>
        <v>417.06058108513753</v>
      </c>
    </row>
    <row r="12" spans="1:11" ht="24.75" customHeight="1" x14ac:dyDescent="0.3">
      <c r="B12" s="26" t="s">
        <v>42</v>
      </c>
      <c r="C12" s="101" t="s">
        <v>43</v>
      </c>
      <c r="D12" s="101"/>
      <c r="E12" s="101"/>
      <c r="F12" s="101"/>
      <c r="G12" s="101"/>
      <c r="H12" s="101"/>
      <c r="I12" s="28">
        <v>7.33</v>
      </c>
      <c r="J12" s="38">
        <f>($C$6*$F$6)*I12</f>
        <v>73.3</v>
      </c>
      <c r="K12" s="50">
        <f>J12*(VLOOKUP(OpdateretÅrstal,Prislistetillæg!$A$5:$C$61,3,FALSE)/VLOOKUP(Produktionsår,Prislistetillæg!$A$5:$C$61,3,FALSE))</f>
        <v>119.93150487854288</v>
      </c>
    </row>
    <row r="13" spans="1:11" x14ac:dyDescent="0.3">
      <c r="B13" s="26" t="s">
        <v>44</v>
      </c>
      <c r="C13" s="101" t="s">
        <v>45</v>
      </c>
      <c r="D13" s="101"/>
      <c r="E13" s="101"/>
      <c r="F13" s="101"/>
      <c r="G13" s="101"/>
      <c r="H13" s="101"/>
      <c r="I13" s="28">
        <v>12.79</v>
      </c>
      <c r="J13" s="39">
        <f>($C$6*$F$6)*2*I13</f>
        <v>255.79999999999998</v>
      </c>
      <c r="K13" s="50">
        <f>J13*(VLOOKUP(OpdateretÅrstal,Prislistetillæg!$A$5:$C$61,3,FALSE)/VLOOKUP(Produktionsår,Prislistetillæg!$A$5:$C$61,3,FALSE))</f>
        <v>418.53313707955346</v>
      </c>
    </row>
    <row r="14" spans="1:11" ht="25.5" customHeight="1" x14ac:dyDescent="0.3">
      <c r="B14" s="26" t="s">
        <v>46</v>
      </c>
      <c r="C14" s="101" t="s">
        <v>47</v>
      </c>
      <c r="D14" s="101"/>
      <c r="E14" s="101"/>
      <c r="F14" s="101"/>
      <c r="G14" s="101"/>
      <c r="H14" s="101"/>
      <c r="I14" s="28">
        <v>9.36</v>
      </c>
      <c r="J14" s="39">
        <f>($C$6*$F$6)*2*I14</f>
        <v>187.2</v>
      </c>
      <c r="K14" s="50">
        <f>J14*(VLOOKUP(OpdateretÅrstal,Prislistetillæg!$A$5:$C$61,3,FALSE)/VLOOKUP(Produktionsår,Prislistetillæg!$A$5:$C$61,3,FALSE))</f>
        <v>306.29164683851604</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v>
      </c>
      <c r="K17" s="50">
        <f>J17*(VLOOKUP(OpdateretÅrstal,Prislistetillæg!$A$5:$C$61,3,FALSE)/VLOOKUP(Produktionsår,Prislistetillæg!$A$5:$C$61,3,FALSE))</f>
        <v>37.566539590877831</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4.75" customHeight="1" x14ac:dyDescent="0.3">
      <c r="B19" s="26" t="s">
        <v>54</v>
      </c>
      <c r="C19" s="97" t="s">
        <v>55</v>
      </c>
      <c r="D19" s="97"/>
      <c r="E19" s="97"/>
      <c r="F19" s="97"/>
      <c r="G19" s="97"/>
      <c r="H19" s="97"/>
      <c r="I19" s="28">
        <v>3.91</v>
      </c>
      <c r="J19" s="52">
        <f>2*(2*(C6+F6))*I19</f>
        <v>109.48</v>
      </c>
      <c r="K19" s="50">
        <f>J19*(VLOOKUP(OpdateretÅrstal,Prislistetillæg!$A$5:$C$61,3,FALSE)/VLOOKUP(Produktionsår,Prislistetillæg!$A$5:$C$61,3,FALSE))</f>
        <v>179.12825585406378</v>
      </c>
    </row>
    <row r="20" spans="1:11" x14ac:dyDescent="0.3">
      <c r="B20" s="26" t="s">
        <v>56</v>
      </c>
      <c r="C20" s="97" t="s">
        <v>57</v>
      </c>
      <c r="D20" s="97"/>
      <c r="E20" s="97"/>
      <c r="F20" s="97"/>
      <c r="G20" s="97"/>
      <c r="H20" s="97"/>
      <c r="I20" s="28">
        <v>5.32</v>
      </c>
      <c r="J20" s="51">
        <f>C6*I20</f>
        <v>10.64</v>
      </c>
      <c r="K20" s="50">
        <f>J20*(VLOOKUP(OpdateretÅrstal,Prislistetillæg!$A$5:$C$61,3,FALSE)/VLOOKUP(Produktionsår,Prislistetillæg!$A$5:$C$61,3,FALSE))</f>
        <v>17.4088842006507</v>
      </c>
    </row>
    <row r="21" spans="1:11" x14ac:dyDescent="0.3">
      <c r="B21" s="26" t="s">
        <v>58</v>
      </c>
      <c r="C21" s="97" t="s">
        <v>59</v>
      </c>
      <c r="D21" s="97"/>
      <c r="E21" s="97"/>
      <c r="F21" s="97"/>
      <c r="G21" s="97"/>
      <c r="H21" s="97"/>
      <c r="I21" s="28">
        <v>10.63</v>
      </c>
      <c r="J21" s="31">
        <f>C6*2*I21</f>
        <v>42.52</v>
      </c>
      <c r="K21" s="50">
        <f>J21*(VLOOKUP(OpdateretÅrstal,Prislistetillæg!$A$5:$C$61,3,FALSE)/VLOOKUP(Produktionsår,Prislistetillæg!$A$5:$C$61,3,FALSE))</f>
        <v>69.570089869517659</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(2*I25)*1</f>
        <v>11.52</v>
      </c>
      <c r="K25" s="50">
        <f>J25*(VLOOKUP(OpdateretÅrstal,Prislistetillæg!$A$5:$C$61,3,FALSE)/VLOOKUP(Produktionsår,Prislistetillæg!$A$5:$C$61,3,FALSE))</f>
        <v>18.848716728524067</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1012.6</v>
      </c>
      <c r="K27" s="48">
        <f>J27*(VLOOKUP(OpdateretÅrstal,Prislistetillæg!$A$5:$C$61,3,FALSE)/VLOOKUP(Produktionsår,Prislistetillæg!$A$5:$C$61,3,FALSE))</f>
        <v>1656.7891110506484</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101.26</v>
      </c>
      <c r="K29" s="49">
        <f>J29*(VLOOKUP(OpdateretÅrstal,Prislistetillæg!$A$5:$C$61,3,FALSE)/VLOOKUP(Produktionsår,Prislistetillæg!$A$5:$C$61,3,FALSE))</f>
        <v>165.67891110506486</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A1:K4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98" t="s">
        <v>74</v>
      </c>
      <c r="B1" s="99"/>
      <c r="C1" s="99"/>
      <c r="D1" s="99"/>
      <c r="E1" s="99"/>
      <c r="F1" s="99"/>
      <c r="G1" s="99"/>
      <c r="H1" s="99"/>
      <c r="I1" s="99"/>
      <c r="J1" s="99"/>
      <c r="K1" s="100"/>
    </row>
    <row r="3" spans="1:11" x14ac:dyDescent="0.3">
      <c r="A3" t="s">
        <v>29</v>
      </c>
      <c r="D3" s="36">
        <v>2014</v>
      </c>
      <c r="E3" t="s">
        <v>30</v>
      </c>
    </row>
    <row r="6" spans="1:11" x14ac:dyDescent="0.3">
      <c r="A6" s="102" t="s">
        <v>31</v>
      </c>
      <c r="B6" s="103"/>
      <c r="C6" s="34">
        <v>2</v>
      </c>
      <c r="D6" s="102" t="s">
        <v>32</v>
      </c>
      <c r="E6" s="103"/>
      <c r="F6" s="34">
        <v>5</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338.2</v>
      </c>
      <c r="K11" s="50">
        <f>J11*(VLOOKUP(OpdateretÅrstal,Prislistetillæg!$A$5:$C$61,3,FALSE)/VLOOKUP(Produktionsår,Prislistetillæg!$A$5:$C$61,3,FALSE))</f>
        <v>553.35381923496868</v>
      </c>
    </row>
    <row r="12" spans="1:11" ht="24.75" customHeight="1" x14ac:dyDescent="0.3">
      <c r="B12" s="26" t="s">
        <v>42</v>
      </c>
      <c r="C12" s="101" t="s">
        <v>43</v>
      </c>
      <c r="D12" s="101"/>
      <c r="E12" s="101"/>
      <c r="F12" s="101"/>
      <c r="G12" s="101"/>
      <c r="H12" s="101"/>
      <c r="I12" s="28">
        <v>7.33</v>
      </c>
      <c r="J12" s="38">
        <f>($C$6*$F$6)*I12</f>
        <v>73.3</v>
      </c>
      <c r="K12" s="50">
        <f>J12*(VLOOKUP(OpdateretÅrstal,Prislistetillæg!$A$5:$C$61,3,FALSE)/VLOOKUP(Produktionsår,Prislistetillæg!$A$5:$C$61,3,FALSE))</f>
        <v>119.93150487854288</v>
      </c>
    </row>
    <row r="13" spans="1:11" x14ac:dyDescent="0.3">
      <c r="B13" s="26" t="s">
        <v>44</v>
      </c>
      <c r="C13" s="101" t="s">
        <v>45</v>
      </c>
      <c r="D13" s="101"/>
      <c r="E13" s="101"/>
      <c r="F13" s="101"/>
      <c r="G13" s="101"/>
      <c r="H13" s="101"/>
      <c r="I13" s="28">
        <v>18.29</v>
      </c>
      <c r="J13" s="39">
        <f>($C$6*$F$6)*2*I13</f>
        <v>365.79999999999995</v>
      </c>
      <c r="K13" s="50">
        <f>J13*(VLOOKUP(OpdateretÅrstal,Prislistetillæg!$A$5:$C$61,3,FALSE)/VLOOKUP(Produktionsår,Prislistetillæg!$A$5:$C$61,3,FALSE))</f>
        <v>598.5122030637242</v>
      </c>
    </row>
    <row r="14" spans="1:11" ht="24.75" customHeight="1" x14ac:dyDescent="0.3">
      <c r="B14" s="26" t="s">
        <v>46</v>
      </c>
      <c r="C14" s="101" t="s">
        <v>47</v>
      </c>
      <c r="D14" s="101"/>
      <c r="E14" s="101"/>
      <c r="F14" s="101"/>
      <c r="G14" s="101"/>
      <c r="H14" s="101"/>
      <c r="I14" s="28">
        <v>9.36</v>
      </c>
      <c r="J14" s="39">
        <f>($C$6*$F$6)*2*I14</f>
        <v>187.2</v>
      </c>
      <c r="K14" s="50">
        <f>J14*(VLOOKUP(OpdateretÅrstal,Prislistetillæg!$A$5:$C$61,3,FALSE)/VLOOKUP(Produktionsår,Prislistetillæg!$A$5:$C$61,3,FALSE))</f>
        <v>306.29164683851604</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v>
      </c>
      <c r="K17" s="50">
        <f>J17*(VLOOKUP(OpdateretÅrstal,Prislistetillæg!$A$5:$C$61,3,FALSE)/VLOOKUP(Produktionsår,Prislistetillæg!$A$5:$C$61,3,FALSE))</f>
        <v>37.566539590877831</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4.75" customHeight="1" x14ac:dyDescent="0.3">
      <c r="B19" s="26" t="s">
        <v>54</v>
      </c>
      <c r="C19" s="97" t="s">
        <v>55</v>
      </c>
      <c r="D19" s="97"/>
      <c r="E19" s="97"/>
      <c r="F19" s="97"/>
      <c r="G19" s="97"/>
      <c r="H19" s="97"/>
      <c r="I19" s="28">
        <v>3.91</v>
      </c>
      <c r="J19" s="52">
        <f>2*(2*(C6+F6))*I19</f>
        <v>109.48</v>
      </c>
      <c r="K19" s="50">
        <f>J19*(VLOOKUP(OpdateretÅrstal,Prislistetillæg!$A$5:$C$61,3,FALSE)/VLOOKUP(Produktionsår,Prislistetillæg!$A$5:$C$61,3,FALSE))</f>
        <v>179.12825585406378</v>
      </c>
    </row>
    <row r="20" spans="1:11" x14ac:dyDescent="0.3">
      <c r="B20" s="26" t="s">
        <v>56</v>
      </c>
      <c r="C20" s="97" t="s">
        <v>57</v>
      </c>
      <c r="D20" s="97"/>
      <c r="E20" s="97"/>
      <c r="F20" s="97"/>
      <c r="G20" s="97"/>
      <c r="H20" s="97"/>
      <c r="I20" s="28">
        <v>5.32</v>
      </c>
      <c r="J20" s="51">
        <f>C6*I20</f>
        <v>10.64</v>
      </c>
      <c r="K20" s="50">
        <f>J20*(VLOOKUP(OpdateretÅrstal,Prislistetillæg!$A$5:$C$61,3,FALSE)/VLOOKUP(Produktionsår,Prislistetillæg!$A$5:$C$61,3,FALSE))</f>
        <v>17.4088842006507</v>
      </c>
    </row>
    <row r="21" spans="1:11" x14ac:dyDescent="0.3">
      <c r="B21" s="26" t="s">
        <v>58</v>
      </c>
      <c r="C21" s="97" t="s">
        <v>59</v>
      </c>
      <c r="D21" s="97"/>
      <c r="E21" s="97"/>
      <c r="F21" s="97"/>
      <c r="G21" s="97"/>
      <c r="H21" s="97"/>
      <c r="I21" s="28">
        <v>10.63</v>
      </c>
      <c r="J21" s="31">
        <f>C6*2*I21</f>
        <v>42.52</v>
      </c>
      <c r="K21" s="50">
        <f>J21*(VLOOKUP(OpdateretÅrstal,Prislistetillæg!$A$5:$C$61,3,FALSE)/VLOOKUP(Produktionsår,Prislistetillæg!$A$5:$C$61,3,FALSE))</f>
        <v>69.570089869517659</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(2*I25)*1</f>
        <v>11.52</v>
      </c>
      <c r="K25" s="50">
        <f>J25*(VLOOKUP(OpdateretÅrstal,Prislistetillæg!$A$5:$C$61,3,FALSE)/VLOOKUP(Produktionsår,Prislistetillæg!$A$5:$C$61,3,FALSE))</f>
        <v>18.848716728524067</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1205.9000000000001</v>
      </c>
      <c r="K27" s="48">
        <f>J27*(VLOOKUP(OpdateretÅrstal,Prislistetillæg!$A$5:$C$61,3,FALSE)/VLOOKUP(Produktionsår,Prislistetillæg!$A$5:$C$61,3,FALSE))</f>
        <v>1973.0614151846505</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120.59</v>
      </c>
      <c r="K29" s="49">
        <f>J29*(VLOOKUP(OpdateretÅrstal,Prislistetillæg!$A$5:$C$61,3,FALSE)/VLOOKUP(Produktionsår,Prislistetillæg!$A$5:$C$61,3,FALSE))</f>
        <v>197.30614151846504</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sheetData>
  <mergeCells count="25">
    <mergeCell ref="C16:H16"/>
    <mergeCell ref="A1:K1"/>
    <mergeCell ref="A6:B6"/>
    <mergeCell ref="D6:E6"/>
    <mergeCell ref="G6:I6"/>
    <mergeCell ref="C10:H10"/>
    <mergeCell ref="C11:H11"/>
    <mergeCell ref="C12:H12"/>
    <mergeCell ref="C13:H13"/>
    <mergeCell ref="C14:H14"/>
    <mergeCell ref="C15:H15"/>
    <mergeCell ref="C9:H9"/>
    <mergeCell ref="C27:H27"/>
    <mergeCell ref="C28:H28"/>
    <mergeCell ref="C29:H29"/>
    <mergeCell ref="C17:H17"/>
    <mergeCell ref="C18:H18"/>
    <mergeCell ref="C19:H19"/>
    <mergeCell ref="C20:H20"/>
    <mergeCell ref="C21:H21"/>
    <mergeCell ref="C26:H26"/>
    <mergeCell ref="C22:H22"/>
    <mergeCell ref="C23:H23"/>
    <mergeCell ref="C25:H25"/>
    <mergeCell ref="C24:H2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50">
    <tabColor theme="9" tint="-0.249977111117893"/>
  </sheetPr>
  <dimension ref="A1:K43"/>
  <sheetViews>
    <sheetView workbookViewId="0">
      <selection activeCell="N17" sqref="N17"/>
    </sheetView>
  </sheetViews>
  <sheetFormatPr defaultRowHeight="13.5" x14ac:dyDescent="0.3"/>
  <cols>
    <col min="9" max="9" width="9.4609375" customWidth="1"/>
    <col min="10" max="11" width="12.15234375" customWidth="1"/>
  </cols>
  <sheetData>
    <row r="1" spans="1:11" ht="14" thickBot="1" x14ac:dyDescent="0.35">
      <c r="A1" s="125" t="s">
        <v>137</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v>
      </c>
      <c r="D6" s="102" t="s">
        <v>32</v>
      </c>
      <c r="E6" s="103"/>
      <c r="F6" s="34">
        <v>6.8</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346.66399999999999</v>
      </c>
      <c r="K11" s="50">
        <f>J11*(VLOOKUP(OpdateretÅrstal,Prislistetillæg!$A$5:$C$61,3,FALSE)/VLOOKUP(Produktionsår,Prislistetillæg!$A$5:$C$61,3,FALSE))</f>
        <v>567.20239027578702</v>
      </c>
    </row>
    <row r="12" spans="1:11" ht="25.5" customHeight="1" x14ac:dyDescent="0.3">
      <c r="B12" s="26" t="s">
        <v>42</v>
      </c>
      <c r="C12" s="101" t="s">
        <v>43</v>
      </c>
      <c r="D12" s="101"/>
      <c r="E12" s="101"/>
      <c r="F12" s="101"/>
      <c r="G12" s="101"/>
      <c r="H12" s="101"/>
      <c r="I12" s="28">
        <v>7.33</v>
      </c>
      <c r="J12" s="38">
        <f>($C$6*$F$6)*I12</f>
        <v>99.688000000000002</v>
      </c>
      <c r="K12" s="50">
        <f>J12*(VLOOKUP(OpdateretÅrstal,Prislistetillæg!$A$5:$C$61,3,FALSE)/VLOOKUP(Produktionsår,Prislistetillæg!$A$5:$C$61,3,FALSE))</f>
        <v>163.10684663481834</v>
      </c>
    </row>
    <row r="13" spans="1:11" x14ac:dyDescent="0.3">
      <c r="B13" s="26" t="s">
        <v>44</v>
      </c>
      <c r="C13" s="101" t="s">
        <v>45</v>
      </c>
      <c r="D13" s="101"/>
      <c r="E13" s="101"/>
      <c r="F13" s="101"/>
      <c r="G13" s="101"/>
      <c r="H13" s="101"/>
      <c r="I13" s="28">
        <v>12.79</v>
      </c>
      <c r="J13" s="39">
        <f>($C$6*$F$6)*2*I13</f>
        <v>347.88799999999998</v>
      </c>
      <c r="K13" s="50">
        <f>J13*(VLOOKUP(OpdateretÅrstal,Prislistetillæg!$A$5:$C$61,3,FALSE)/VLOOKUP(Produktionsår,Prislistetillæg!$A$5:$C$61,3,FALSE))</f>
        <v>569.20506642819271</v>
      </c>
    </row>
    <row r="14" spans="1:11" ht="26.25" customHeight="1" x14ac:dyDescent="0.3">
      <c r="B14" s="26" t="s">
        <v>46</v>
      </c>
      <c r="C14" s="101" t="s">
        <v>47</v>
      </c>
      <c r="D14" s="101"/>
      <c r="E14" s="101"/>
      <c r="F14" s="101"/>
      <c r="G14" s="101"/>
      <c r="H14" s="101"/>
      <c r="I14" s="28">
        <v>9.36</v>
      </c>
      <c r="J14" s="39">
        <f>($C$6*$F$6)*2*I14</f>
        <v>254.59199999999998</v>
      </c>
      <c r="K14" s="50">
        <f>J14*(VLOOKUP(OpdateretÅrstal,Prislistetillæg!$A$5:$C$61,3,FALSE)/VLOOKUP(Produktionsår,Prislistetillæg!$A$5:$C$61,3,FALSE))</f>
        <v>416.55663970038182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v>
      </c>
      <c r="K17" s="50">
        <f>J17*(VLOOKUP(OpdateretÅrstal,Prislistetillæg!$A$5:$C$61,3,FALSE)/VLOOKUP(Produktionsår,Prislistetillæg!$A$5:$C$61,3,FALSE))</f>
        <v>37.566539590877831</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4.75" customHeight="1" x14ac:dyDescent="0.3">
      <c r="B19" s="26" t="s">
        <v>54</v>
      </c>
      <c r="C19" s="97" t="s">
        <v>55</v>
      </c>
      <c r="D19" s="97"/>
      <c r="E19" s="97"/>
      <c r="F19" s="97"/>
      <c r="G19" s="97"/>
      <c r="H19" s="97"/>
      <c r="I19" s="28">
        <v>3.91</v>
      </c>
      <c r="J19" s="52">
        <f>2*(2*(C6+F6))*I19</f>
        <v>137.63200000000001</v>
      </c>
      <c r="K19" s="50">
        <f>J19*(VLOOKUP(OpdateretÅrstal,Prislistetillæg!$A$5:$C$61,3,FALSE)/VLOOKUP(Produktionsår,Prislistetillæg!$A$5:$C$61,3,FALSE))</f>
        <v>225.18980735939448</v>
      </c>
    </row>
    <row r="20" spans="1:11" x14ac:dyDescent="0.3">
      <c r="B20" s="26" t="s">
        <v>56</v>
      </c>
      <c r="C20" s="97" t="s">
        <v>57</v>
      </c>
      <c r="D20" s="97"/>
      <c r="E20" s="97"/>
      <c r="F20" s="97"/>
      <c r="G20" s="97"/>
      <c r="H20" s="97"/>
      <c r="I20" s="28">
        <v>8.2200000000000006</v>
      </c>
      <c r="J20" s="51">
        <f>C6*I20</f>
        <v>16.440000000000001</v>
      </c>
      <c r="K20" s="50">
        <f>J20*(VLOOKUP(OpdateretÅrstal,Prislistetillæg!$A$5:$C$61,3,FALSE)/VLOOKUP(Produktionsår,Prislistetillæg!$A$5:$C$61,3,FALSE))</f>
        <v>26.898689497997889</v>
      </c>
    </row>
    <row r="21" spans="1:11" x14ac:dyDescent="0.3">
      <c r="B21" s="26" t="s">
        <v>58</v>
      </c>
      <c r="C21" s="97" t="s">
        <v>59</v>
      </c>
      <c r="D21" s="97"/>
      <c r="E21" s="97"/>
      <c r="F21" s="97"/>
      <c r="G21" s="97"/>
      <c r="H21" s="97"/>
      <c r="I21" s="28">
        <v>16.43</v>
      </c>
      <c r="J21" s="31">
        <f>C6*2*I21</f>
        <v>65.72</v>
      </c>
      <c r="K21" s="50">
        <f>J21*(VLOOKUP(OpdateretÅrstal,Prislistetillæg!$A$5:$C$61,3,FALSE)/VLOOKUP(Produktionsår,Prislistetillæg!$A$5:$C$61,3,FALSE))</f>
        <v>107.52931105890639</v>
      </c>
    </row>
    <row r="22" spans="1:11" x14ac:dyDescent="0.3">
      <c r="B22" s="26" t="s">
        <v>60</v>
      </c>
      <c r="C22" s="110" t="s">
        <v>61</v>
      </c>
      <c r="D22" s="111"/>
      <c r="E22" s="111"/>
      <c r="F22" s="111"/>
      <c r="G22" s="111"/>
      <c r="H22" s="112"/>
      <c r="I22" s="28">
        <v>32.729999999999997</v>
      </c>
      <c r="J22" s="38">
        <f>(2*I22)*3.2</f>
        <v>209.47199999999998</v>
      </c>
      <c r="K22" s="50">
        <f>J22*(VLOOKUP(OpdateretÅrstal,Prislistetillæg!$A$5:$C$61,3,FALSE)/VLOOKUP(Produktionsår,Prislistetillæg!$A$5:$C$61,3,FALSE))</f>
        <v>342.73249918032923</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22.479199999999999</v>
      </c>
      <c r="K24" s="50">
        <f>J24*(VLOOKUP(OpdateretÅrstal,Prislistetillæg!$A$5:$C$61,3,FALSE)/VLOOKUP(Produktionsår,Prislistetillæg!$A$5:$C$61,3,FALSE))</f>
        <v>36.779867455194285</v>
      </c>
    </row>
    <row r="25" spans="1:11" ht="24.75" customHeight="1" x14ac:dyDescent="0.3">
      <c r="B25" s="26" t="s">
        <v>66</v>
      </c>
      <c r="C25" s="110" t="s">
        <v>67</v>
      </c>
      <c r="D25" s="111"/>
      <c r="E25" s="111"/>
      <c r="F25" s="111"/>
      <c r="G25" s="111"/>
      <c r="H25" s="112"/>
      <c r="I25" s="28">
        <v>5.76</v>
      </c>
      <c r="J25" s="38">
        <f>(4*I25)*1</f>
        <v>23.04</v>
      </c>
      <c r="K25" s="50">
        <f>J25*(VLOOKUP(OpdateretÅrstal,Prislistetillæg!$A$5:$C$61,3,FALSE)/VLOOKUP(Produktionsår,Prislistetillæg!$A$5:$C$61,3,FALSE))</f>
        <v>37.697433457048135</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1318.384</v>
      </c>
      <c r="K27" s="48">
        <f>J27*(VLOOKUP(OpdateretÅrstal,Prislistetillæg!$A$5:$C$61,3,FALSE)/VLOOKUP(Produktionsår,Prislistetillæg!$A$5:$C$61,3,FALSE))</f>
        <v>2157.1047357134094</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96.94</v>
      </c>
      <c r="K29" s="49">
        <f>J29*(VLOOKUP(OpdateretÅrstal,Prislistetillæg!$A$5:$C$61,3,FALSE)/VLOOKUP(Produktionsår,Prislistetillæg!$A$5:$C$61,3,FALSE))</f>
        <v>158.61064233186832</v>
      </c>
    </row>
    <row r="32" spans="1:11" x14ac:dyDescent="0.3">
      <c r="A32" t="s">
        <v>70</v>
      </c>
    </row>
    <row r="33" spans="1:4" x14ac:dyDescent="0.3">
      <c r="A33" t="s">
        <v>71</v>
      </c>
    </row>
    <row r="36" spans="1:4" x14ac:dyDescent="0.3">
      <c r="A36" t="s">
        <v>75</v>
      </c>
      <c r="D36" t="s">
        <v>84</v>
      </c>
    </row>
    <row r="37" spans="1:4" x14ac:dyDescent="0.3">
      <c r="D37" t="s">
        <v>85</v>
      </c>
    </row>
    <row r="38" spans="1:4" x14ac:dyDescent="0.3">
      <c r="D38" t="s">
        <v>86</v>
      </c>
    </row>
    <row r="40" spans="1:4" x14ac:dyDescent="0.3">
      <c r="A40" t="s">
        <v>79</v>
      </c>
      <c r="D40" t="s">
        <v>80</v>
      </c>
    </row>
    <row r="41" spans="1:4" x14ac:dyDescent="0.3">
      <c r="D41" t="s">
        <v>81</v>
      </c>
    </row>
    <row r="43" spans="1:4" x14ac:dyDescent="0.3">
      <c r="D43" t="s">
        <v>87</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51">
    <tabColor theme="9" tint="-0.249977111117893"/>
  </sheetPr>
  <dimension ref="A1:K33"/>
  <sheetViews>
    <sheetView workbookViewId="0">
      <selection activeCell="N17" sqref="N17"/>
    </sheetView>
  </sheetViews>
  <sheetFormatPr defaultRowHeight="13.5" x14ac:dyDescent="0.3"/>
  <cols>
    <col min="9" max="9" width="10.4609375" customWidth="1"/>
    <col min="10" max="10" width="12.15234375" customWidth="1"/>
    <col min="11" max="11" width="12" customWidth="1"/>
  </cols>
  <sheetData>
    <row r="1" spans="1:11" ht="14" thickBot="1" x14ac:dyDescent="0.35">
      <c r="A1" s="125" t="s">
        <v>138</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5</v>
      </c>
      <c r="D6" s="102" t="s">
        <v>32</v>
      </c>
      <c r="E6" s="103"/>
      <c r="F6" s="34">
        <v>2.4</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305.88</v>
      </c>
      <c r="K11" s="50">
        <f>J11*(VLOOKUP(OpdateretÅrstal,Prislistetillæg!$A$5:$C$61,3,FALSE)/VLOOKUP(Produktionsår,Prislistetillæg!$A$5:$C$61,3,FALSE))</f>
        <v>500.47269730216505</v>
      </c>
    </row>
    <row r="12" spans="1:11" ht="24.75" customHeight="1" x14ac:dyDescent="0.3">
      <c r="B12" s="26" t="s">
        <v>42</v>
      </c>
      <c r="C12" s="101" t="s">
        <v>43</v>
      </c>
      <c r="D12" s="101"/>
      <c r="E12" s="101"/>
      <c r="F12" s="101"/>
      <c r="G12" s="101"/>
      <c r="H12" s="101"/>
      <c r="I12" s="28">
        <v>7.33</v>
      </c>
      <c r="J12" s="38">
        <f>($C$6*$F$6)*I12</f>
        <v>87.960000000000008</v>
      </c>
      <c r="K12" s="50">
        <f>J12*(VLOOKUP(OpdateretÅrstal,Prislistetillæg!$A$5:$C$61,3,FALSE)/VLOOKUP(Produktionsår,Prislistetillæg!$A$5:$C$61,3,FALSE))</f>
        <v>143.91780585425147</v>
      </c>
    </row>
    <row r="13" spans="1:11" x14ac:dyDescent="0.3">
      <c r="B13" s="26" t="s">
        <v>44</v>
      </c>
      <c r="C13" s="101" t="s">
        <v>45</v>
      </c>
      <c r="D13" s="101"/>
      <c r="E13" s="101"/>
      <c r="F13" s="101"/>
      <c r="G13" s="101"/>
      <c r="H13" s="101"/>
      <c r="I13" s="28">
        <v>12.79</v>
      </c>
      <c r="J13" s="39">
        <f>($C$6*$F$6)*2*I13</f>
        <v>306.95999999999998</v>
      </c>
      <c r="K13" s="50">
        <f>J13*(VLOOKUP(OpdateretÅrstal,Prislistetillæg!$A$5:$C$61,3,FALSE)/VLOOKUP(Produktionsår,Prislistetillæg!$A$5:$C$61,3,FALSE))</f>
        <v>502.23976449546416</v>
      </c>
    </row>
    <row r="14" spans="1:11" ht="26.25" customHeight="1" x14ac:dyDescent="0.3">
      <c r="B14" s="26" t="s">
        <v>46</v>
      </c>
      <c r="C14" s="101" t="s">
        <v>47</v>
      </c>
      <c r="D14" s="101"/>
      <c r="E14" s="101"/>
      <c r="F14" s="101"/>
      <c r="G14" s="101"/>
      <c r="H14" s="101"/>
      <c r="I14" s="28">
        <v>9.36</v>
      </c>
      <c r="J14" s="39">
        <f>($C$6*$F$6)*2*I14</f>
        <v>224.64</v>
      </c>
      <c r="K14" s="50">
        <f>J14*(VLOOKUP(OpdateretÅrstal,Prislistetillæg!$A$5:$C$61,3,FALSE)/VLOOKUP(Produktionsår,Prislistetillæg!$A$5:$C$61,3,FALSE))</f>
        <v>367.5499762062193</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115.736</v>
      </c>
      <c r="K19" s="50">
        <f>J19*(VLOOKUP(OpdateretÅrstal,Prislistetillæg!$A$5:$C$61,3,FALSE)/VLOOKUP(Produktionsår,Prislistetillæg!$A$5:$C$61,3,FALSE))</f>
        <v>189.36415618858172</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1150.136</v>
      </c>
      <c r="K27" s="48">
        <f>J27*(VLOOKUP(OpdateretÅrstal,Prislistetillæg!$A$5:$C$61,3,FALSE)/VLOOKUP(Produktionsår,Prislistetillæg!$A$5:$C$61,3,FALSE))</f>
        <v>1881.8218457706384</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95.844666666666669</v>
      </c>
      <c r="K29" s="49">
        <f>J29*(VLOOKUP(OpdateretÅrstal,Prislistetillæg!$A$5:$C$61,3,FALSE)/VLOOKUP(Produktionsår,Prislistetillæg!$A$5:$C$61,3,FALSE))</f>
        <v>156.81848714755321</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52">
    <tabColor theme="9" tint="-0.249977111117893"/>
  </sheetPr>
  <dimension ref="A1:K33"/>
  <sheetViews>
    <sheetView workbookViewId="0">
      <selection activeCell="N17" sqref="N17"/>
    </sheetView>
  </sheetViews>
  <sheetFormatPr defaultRowHeight="13.5" x14ac:dyDescent="0.3"/>
  <cols>
    <col min="9" max="9" width="10.4609375" customWidth="1"/>
    <col min="10" max="10" width="12.15234375" customWidth="1"/>
    <col min="11" max="11" width="12" customWidth="1"/>
  </cols>
  <sheetData>
    <row r="1" spans="1:11" ht="14" thickBot="1" x14ac:dyDescent="0.35">
      <c r="A1" s="125" t="s">
        <v>139</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5</v>
      </c>
      <c r="D6" s="102" t="s">
        <v>32</v>
      </c>
      <c r="E6" s="103"/>
      <c r="F6" s="34">
        <v>2.8</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356.85999999999996</v>
      </c>
      <c r="K11" s="50">
        <f>J11*(VLOOKUP(OpdateretÅrstal,Prislistetillæg!$A$5:$C$61,3,FALSE)/VLOOKUP(Produktionsår,Prislistetillæg!$A$5:$C$61,3,FALSE))</f>
        <v>583.88481351919245</v>
      </c>
    </row>
    <row r="12" spans="1:11" ht="24.75" customHeight="1" x14ac:dyDescent="0.3">
      <c r="B12" s="26" t="s">
        <v>42</v>
      </c>
      <c r="C12" s="101" t="s">
        <v>43</v>
      </c>
      <c r="D12" s="101"/>
      <c r="E12" s="101"/>
      <c r="F12" s="101"/>
      <c r="G12" s="101"/>
      <c r="H12" s="101"/>
      <c r="I12" s="28">
        <v>7.33</v>
      </c>
      <c r="J12" s="38">
        <f>($C$6*$F$6)*I12</f>
        <v>102.62</v>
      </c>
      <c r="K12" s="50">
        <f>J12*(VLOOKUP(OpdateretÅrstal,Prislistetillæg!$A$5:$C$61,3,FALSE)/VLOOKUP(Produktionsår,Prislistetillæg!$A$5:$C$61,3,FALSE))</f>
        <v>167.90410682996006</v>
      </c>
    </row>
    <row r="13" spans="1:11" x14ac:dyDescent="0.3">
      <c r="B13" s="26" t="s">
        <v>44</v>
      </c>
      <c r="C13" s="101" t="s">
        <v>45</v>
      </c>
      <c r="D13" s="101"/>
      <c r="E13" s="101"/>
      <c r="F13" s="101"/>
      <c r="G13" s="101"/>
      <c r="H13" s="101"/>
      <c r="I13" s="28">
        <v>12.79</v>
      </c>
      <c r="J13" s="39">
        <f>($C$6*$F$6)*2*I13</f>
        <v>358.12</v>
      </c>
      <c r="K13" s="50">
        <f>J13*(VLOOKUP(OpdateretÅrstal,Prislistetillæg!$A$5:$C$61,3,FALSE)/VLOOKUP(Produktionsår,Prislistetillæg!$A$5:$C$61,3,FALSE))</f>
        <v>585.94639191137492</v>
      </c>
    </row>
    <row r="14" spans="1:11" ht="26.25" customHeight="1" x14ac:dyDescent="0.3">
      <c r="B14" s="26" t="s">
        <v>46</v>
      </c>
      <c r="C14" s="101" t="s">
        <v>47</v>
      </c>
      <c r="D14" s="101"/>
      <c r="E14" s="101"/>
      <c r="F14" s="101"/>
      <c r="G14" s="101"/>
      <c r="H14" s="101"/>
      <c r="I14" s="28">
        <v>9.36</v>
      </c>
      <c r="J14" s="39">
        <f>($C$6*$F$6)*2*I14</f>
        <v>262.08</v>
      </c>
      <c r="K14" s="50">
        <f>J14*(VLOOKUP(OpdateretÅrstal,Prislistetillæg!$A$5:$C$61,3,FALSE)/VLOOKUP(Produktionsår,Prislistetillæg!$A$5:$C$61,3,FALSE))</f>
        <v>428.8083055739225</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28.700000000000003</v>
      </c>
      <c r="K17" s="50">
        <f>J17*(VLOOKUP(OpdateretÅrstal,Prislistetillæg!$A$5:$C$61,3,FALSE)/VLOOKUP(Produktionsår,Prislistetillæg!$A$5:$C$61,3,FALSE))</f>
        <v>46.958174488597287</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121.992</v>
      </c>
      <c r="K19" s="50">
        <f>J19*(VLOOKUP(OpdateretÅrstal,Prislistetillæg!$A$5:$C$61,3,FALSE)/VLOOKUP(Produktionsår,Prislistetillæg!$A$5:$C$61,3,FALSE))</f>
        <v>199.60005652309965</v>
      </c>
    </row>
    <row r="20" spans="1:11" ht="12.75" customHeight="1" x14ac:dyDescent="0.3">
      <c r="B20" s="26" t="s">
        <v>56</v>
      </c>
      <c r="C20" s="97" t="s">
        <v>57</v>
      </c>
      <c r="D20" s="97"/>
      <c r="E20" s="97"/>
      <c r="F20" s="97"/>
      <c r="G20" s="97"/>
      <c r="H20" s="97"/>
      <c r="I20" s="28">
        <v>1.93</v>
      </c>
      <c r="J20" s="51">
        <f>C6*I20</f>
        <v>9.65</v>
      </c>
      <c r="K20" s="50">
        <f>J20*(VLOOKUP(OpdateretÅrstal,Prislistetillæg!$A$5:$C$61,3,FALSE)/VLOOKUP(Produktionsår,Prislistetillæg!$A$5:$C$61,3,FALSE))</f>
        <v>15.789072606793164</v>
      </c>
    </row>
    <row r="21" spans="1:11" ht="12.75" customHeight="1" x14ac:dyDescent="0.3">
      <c r="B21" s="26" t="s">
        <v>58</v>
      </c>
      <c r="C21" s="97" t="s">
        <v>59</v>
      </c>
      <c r="D21" s="97"/>
      <c r="E21" s="97"/>
      <c r="F21" s="97"/>
      <c r="G21" s="97"/>
      <c r="H21" s="97"/>
      <c r="I21" s="28">
        <v>3.87</v>
      </c>
      <c r="J21" s="31">
        <f>C6*2*I21</f>
        <v>38.700000000000003</v>
      </c>
      <c r="K21" s="50">
        <f>J21*(VLOOKUP(OpdateretÅrstal,Prislistetillæg!$A$5:$C$61,3,FALSE)/VLOOKUP(Produktionsår,Prislistetillæg!$A$5:$C$61,3,FALSE))</f>
        <v>63.319907759885538</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1339.3319999999999</v>
      </c>
      <c r="K27" s="48">
        <f>J27*(VLOOKUP(OpdateretÅrstal,Prislistetillæg!$A$5:$C$61,3,FALSE)/VLOOKUP(Produktionsår,Prislistetillæg!$A$5:$C$61,3,FALSE))</f>
        <v>2191.3792945701034</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95.666571428571416</v>
      </c>
      <c r="K29" s="49">
        <f>J29*(VLOOKUP(OpdateretÅrstal,Prislistetillæg!$A$5:$C$61,3,FALSE)/VLOOKUP(Produktionsår,Prislistetillæg!$A$5:$C$61,3,FALSE))</f>
        <v>156.52709246929311</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53">
    <tabColor theme="9" tint="-0.249977111117893"/>
  </sheetPr>
  <dimension ref="A1:K33"/>
  <sheetViews>
    <sheetView workbookViewId="0">
      <selection activeCell="N17" sqref="N17"/>
    </sheetView>
  </sheetViews>
  <sheetFormatPr defaultRowHeight="13.5" x14ac:dyDescent="0.3"/>
  <cols>
    <col min="9" max="9" width="9.4609375" customWidth="1"/>
    <col min="10" max="11" width="12.15234375" customWidth="1"/>
  </cols>
  <sheetData>
    <row r="1" spans="1:11" ht="14" thickBot="1" x14ac:dyDescent="0.35">
      <c r="A1" s="125" t="s">
        <v>140</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5</v>
      </c>
      <c r="D6" s="102" t="s">
        <v>32</v>
      </c>
      <c r="E6" s="103"/>
      <c r="F6" s="34">
        <v>3.6</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458.82</v>
      </c>
      <c r="K11" s="50">
        <f>J11*(VLOOKUP(OpdateretÅrstal,Prislistetillæg!$A$5:$C$61,3,FALSE)/VLOOKUP(Produktionsår,Prislistetillæg!$A$5:$C$61,3,FALSE))</f>
        <v>750.7090459532476</v>
      </c>
    </row>
    <row r="12" spans="1:11" ht="26.25" customHeight="1" x14ac:dyDescent="0.3">
      <c r="B12" s="26" t="s">
        <v>42</v>
      </c>
      <c r="C12" s="101" t="s">
        <v>43</v>
      </c>
      <c r="D12" s="101"/>
      <c r="E12" s="101"/>
      <c r="F12" s="101"/>
      <c r="G12" s="101"/>
      <c r="H12" s="101"/>
      <c r="I12" s="28">
        <v>7.33</v>
      </c>
      <c r="J12" s="38">
        <f>($C$6*$F$6)*I12</f>
        <v>131.94</v>
      </c>
      <c r="K12" s="50">
        <f>J12*(VLOOKUP(OpdateretÅrstal,Prislistetillæg!$A$5:$C$61,3,FALSE)/VLOOKUP(Produktionsår,Prislistetillæg!$A$5:$C$61,3,FALSE))</f>
        <v>215.8767087813772</v>
      </c>
    </row>
    <row r="13" spans="1:11" x14ac:dyDescent="0.3">
      <c r="B13" s="26" t="s">
        <v>44</v>
      </c>
      <c r="C13" s="101" t="s">
        <v>45</v>
      </c>
      <c r="D13" s="101"/>
      <c r="E13" s="101"/>
      <c r="F13" s="101"/>
      <c r="G13" s="101"/>
      <c r="H13" s="101"/>
      <c r="I13" s="28">
        <v>12.79</v>
      </c>
      <c r="J13" s="39">
        <f>($C$6*$F$6)*2*I13</f>
        <v>460.43999999999994</v>
      </c>
      <c r="K13" s="50">
        <f>J13*(VLOOKUP(OpdateretÅrstal,Prislistetillæg!$A$5:$C$61,3,FALSE)/VLOOKUP(Produktionsår,Prislistetillæg!$A$5:$C$61,3,FALSE))</f>
        <v>753.35964674319621</v>
      </c>
    </row>
    <row r="14" spans="1:11" ht="25.5" customHeight="1" x14ac:dyDescent="0.3">
      <c r="B14" s="26" t="s">
        <v>46</v>
      </c>
      <c r="C14" s="101" t="s">
        <v>47</v>
      </c>
      <c r="D14" s="101"/>
      <c r="E14" s="101"/>
      <c r="F14" s="101"/>
      <c r="G14" s="101"/>
      <c r="H14" s="101"/>
      <c r="I14" s="28">
        <v>9.36</v>
      </c>
      <c r="J14" s="39">
        <f>($C$6*$F$6)*2*I14</f>
        <v>336.96</v>
      </c>
      <c r="K14" s="50">
        <f>J14*(VLOOKUP(OpdateretÅrstal,Prislistetillæg!$A$5:$C$61,3,FALSE)/VLOOKUP(Produktionsår,Prislistetillæg!$A$5:$C$61,3,FALSE))</f>
        <v>551.32496430932895</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2*C6*I17</f>
        <v>28.700000000000003</v>
      </c>
      <c r="K17" s="50">
        <f>J17*(VLOOKUP(OpdateretÅrstal,Prislistetillæg!$A$5:$C$61,3,FALSE)/VLOOKUP(Produktionsår,Prislistetillæg!$A$5:$C$61,3,FALSE))</f>
        <v>46.958174488597287</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5.5" customHeight="1" x14ac:dyDescent="0.3">
      <c r="B19" s="26" t="s">
        <v>54</v>
      </c>
      <c r="C19" s="97" t="s">
        <v>55</v>
      </c>
      <c r="D19" s="97"/>
      <c r="E19" s="97"/>
      <c r="F19" s="97"/>
      <c r="G19" s="97"/>
      <c r="H19" s="97"/>
      <c r="I19" s="28">
        <v>3.91</v>
      </c>
      <c r="J19" s="52">
        <f>2*(2*(C6+F6))*I19</f>
        <v>134.50399999999999</v>
      </c>
      <c r="K19" s="50">
        <f>J19*(VLOOKUP(OpdateretÅrstal,Prislistetillæg!$A$5:$C$61,3,FALSE)/VLOOKUP(Produktionsår,Prislistetillæg!$A$5:$C$61,3,FALSE))</f>
        <v>220.0718571921355</v>
      </c>
    </row>
    <row r="20" spans="1:11" x14ac:dyDescent="0.3">
      <c r="B20" s="26" t="s">
        <v>56</v>
      </c>
      <c r="C20" s="97" t="s">
        <v>57</v>
      </c>
      <c r="D20" s="97"/>
      <c r="E20" s="97"/>
      <c r="F20" s="97"/>
      <c r="G20" s="97"/>
      <c r="H20" s="97"/>
      <c r="I20" s="28">
        <v>2.91</v>
      </c>
      <c r="J20" s="51">
        <f>C6*I20</f>
        <v>14.55</v>
      </c>
      <c r="K20" s="50">
        <f>J20*(VLOOKUP(OpdateretÅrstal,Prislistetillæg!$A$5:$C$61,3,FALSE)/VLOOKUP(Produktionsår,Prislistetillæg!$A$5:$C$61,3,FALSE))</f>
        <v>23.80632190972441</v>
      </c>
    </row>
    <row r="21" spans="1:11" x14ac:dyDescent="0.3">
      <c r="B21" s="26" t="s">
        <v>58</v>
      </c>
      <c r="C21" s="97" t="s">
        <v>59</v>
      </c>
      <c r="D21" s="97"/>
      <c r="E21" s="97"/>
      <c r="F21" s="97"/>
      <c r="G21" s="97"/>
      <c r="H21" s="97"/>
      <c r="I21" s="28">
        <v>5.79</v>
      </c>
      <c r="J21" s="31">
        <f>C6*2*I21</f>
        <v>57.9</v>
      </c>
      <c r="K21" s="50">
        <f>J21*(VLOOKUP(OpdateretÅrstal,Prislistetillæg!$A$5:$C$61,3,FALSE)/VLOOKUP(Produktionsår,Prislistetillæg!$A$5:$C$61,3,FALSE))</f>
        <v>94.734435640758974</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1660.3239999999998</v>
      </c>
      <c r="K27" s="48">
        <f>J27*(VLOOKUP(OpdateretÅrstal,Prislistetillæg!$A$5:$C$61,3,FALSE)/VLOOKUP(Produktionsår,Prislistetillæg!$A$5:$C$61,3,FALSE))</f>
        <v>2716.5778431918393</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92.240222222222215</v>
      </c>
      <c r="K29" s="49">
        <f>J29*(VLOOKUP(OpdateretÅrstal,Prislistetillæg!$A$5:$C$61,3,FALSE)/VLOOKUP(Produktionsår,Prislistetillæg!$A$5:$C$61,3,FALSE))</f>
        <v>150.92099128843552</v>
      </c>
    </row>
    <row r="32" spans="1:11" x14ac:dyDescent="0.3">
      <c r="A32" t="s">
        <v>70</v>
      </c>
    </row>
    <row r="33" spans="1:1" x14ac:dyDescent="0.3">
      <c r="A33" t="s">
        <v>71</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54">
    <tabColor theme="9" tint="-0.249977111117893"/>
  </sheetPr>
  <dimension ref="A1:K44"/>
  <sheetViews>
    <sheetView workbookViewId="0">
      <selection activeCell="N17" sqref="N17"/>
    </sheetView>
  </sheetViews>
  <sheetFormatPr defaultRowHeight="13.5" x14ac:dyDescent="0.3"/>
  <cols>
    <col min="9" max="9" width="9.4609375" customWidth="1"/>
    <col min="10" max="11" width="12.15234375" customWidth="1"/>
  </cols>
  <sheetData>
    <row r="1" spans="1:11" ht="14" thickBot="1" x14ac:dyDescent="0.35">
      <c r="A1" s="125" t="s">
        <v>141</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5</v>
      </c>
      <c r="D6" s="102" t="s">
        <v>32</v>
      </c>
      <c r="E6" s="103"/>
      <c r="F6" s="34">
        <v>5</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637.25</v>
      </c>
      <c r="K11" s="50">
        <f>J11*(VLOOKUP(OpdateretÅrstal,Prislistetillæg!$A$5:$C$61,3,FALSE)/VLOOKUP(Produktionsår,Prislistetillæg!$A$5:$C$61,3,FALSE))</f>
        <v>1042.6514527128438</v>
      </c>
    </row>
    <row r="12" spans="1:11" ht="26.25" customHeight="1" x14ac:dyDescent="0.3">
      <c r="B12" s="26" t="s">
        <v>42</v>
      </c>
      <c r="C12" s="101" t="s">
        <v>43</v>
      </c>
      <c r="D12" s="101"/>
      <c r="E12" s="101"/>
      <c r="F12" s="101"/>
      <c r="G12" s="101"/>
      <c r="H12" s="101"/>
      <c r="I12" s="28">
        <v>7.33</v>
      </c>
      <c r="J12" s="38">
        <f>($C$6*$F$6)*I12</f>
        <v>183.25</v>
      </c>
      <c r="K12" s="50">
        <f>J12*(VLOOKUP(OpdateretÅrstal,Prislistetillæg!$A$5:$C$61,3,FALSE)/VLOOKUP(Produktionsår,Prislistetillæg!$A$5:$C$61,3,FALSE))</f>
        <v>299.82876219635722</v>
      </c>
    </row>
    <row r="13" spans="1:11" x14ac:dyDescent="0.3">
      <c r="B13" s="26" t="s">
        <v>44</v>
      </c>
      <c r="C13" s="101" t="s">
        <v>45</v>
      </c>
      <c r="D13" s="101"/>
      <c r="E13" s="101"/>
      <c r="F13" s="101"/>
      <c r="G13" s="101"/>
      <c r="H13" s="101"/>
      <c r="I13" s="28">
        <v>12.79</v>
      </c>
      <c r="J13" s="39">
        <f>($C$6*$F$6)*2*I13</f>
        <v>639.5</v>
      </c>
      <c r="K13" s="50">
        <f>J13*(VLOOKUP(OpdateretÅrstal,Prislistetillæg!$A$5:$C$61,3,FALSE)/VLOOKUP(Produktionsår,Prislistetillæg!$A$5:$C$61,3,FALSE))</f>
        <v>1046.3328426988837</v>
      </c>
    </row>
    <row r="14" spans="1:11" ht="26.25" customHeight="1" x14ac:dyDescent="0.3">
      <c r="B14" s="26" t="s">
        <v>46</v>
      </c>
      <c r="C14" s="101" t="s">
        <v>47</v>
      </c>
      <c r="D14" s="101"/>
      <c r="E14" s="101"/>
      <c r="F14" s="101"/>
      <c r="G14" s="101"/>
      <c r="H14" s="101"/>
      <c r="I14" s="28">
        <v>9.36</v>
      </c>
      <c r="J14" s="39">
        <f>($C$6*$F$6)*2*I14</f>
        <v>468</v>
      </c>
      <c r="K14" s="50">
        <f>J14*(VLOOKUP(OpdateretÅrstal,Prislistetillæg!$A$5:$C$61,3,FALSE)/VLOOKUP(Produktionsår,Prislistetillæg!$A$5:$C$61,3,FALSE))</f>
        <v>765.72911709629022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57.400000000000006</v>
      </c>
      <c r="K17" s="50">
        <f>J17*(VLOOKUP(OpdateretÅrstal,Prislistetillæg!$A$5:$C$61,3,FALSE)/VLOOKUP(Produktionsår,Prislistetillæg!$A$5:$C$61,3,FALSE))</f>
        <v>93.916348977194573</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5.5" customHeight="1" x14ac:dyDescent="0.3">
      <c r="B19" s="26" t="s">
        <v>54</v>
      </c>
      <c r="C19" s="97" t="s">
        <v>55</v>
      </c>
      <c r="D19" s="97"/>
      <c r="E19" s="97"/>
      <c r="F19" s="97"/>
      <c r="G19" s="97"/>
      <c r="H19" s="97"/>
      <c r="I19" s="28">
        <v>3.91</v>
      </c>
      <c r="J19" s="52">
        <f>2*(2*(C6+F6))*I19</f>
        <v>156.4</v>
      </c>
      <c r="K19" s="50">
        <f>J19*(VLOOKUP(OpdateretÅrstal,Prislistetillæg!$A$5:$C$61,3,FALSE)/VLOOKUP(Produktionsår,Prislistetillæg!$A$5:$C$61,3,FALSE))</f>
        <v>255.89750836294829</v>
      </c>
    </row>
    <row r="20" spans="1:11" x14ac:dyDescent="0.3">
      <c r="B20" s="26" t="s">
        <v>56</v>
      </c>
      <c r="C20" s="97" t="s">
        <v>57</v>
      </c>
      <c r="D20" s="97"/>
      <c r="E20" s="97"/>
      <c r="F20" s="97"/>
      <c r="G20" s="97"/>
      <c r="H20" s="97"/>
      <c r="I20" s="28">
        <v>5.32</v>
      </c>
      <c r="J20" s="51">
        <f>C6*I20</f>
        <v>26.6</v>
      </c>
      <c r="K20" s="50">
        <f>J20*(VLOOKUP(OpdateretÅrstal,Prislistetillæg!$A$5:$C$61,3,FALSE)/VLOOKUP(Produktionsår,Prislistetillæg!$A$5:$C$61,3,FALSE))</f>
        <v>43.522210501626752</v>
      </c>
    </row>
    <row r="21" spans="1:11" x14ac:dyDescent="0.3">
      <c r="B21" s="26" t="s">
        <v>58</v>
      </c>
      <c r="C21" s="97" t="s">
        <v>59</v>
      </c>
      <c r="D21" s="97"/>
      <c r="E21" s="97"/>
      <c r="F21" s="97"/>
      <c r="G21" s="97"/>
      <c r="H21" s="97"/>
      <c r="I21" s="28">
        <v>10.63</v>
      </c>
      <c r="J21" s="31">
        <f>C6*2*I21</f>
        <v>106.30000000000001</v>
      </c>
      <c r="K21" s="50">
        <f>J21*(VLOOKUP(OpdateretÅrstal,Prislistetillæg!$A$5:$C$61,3,FALSE)/VLOOKUP(Produktionsår,Prislistetillæg!$A$5:$C$61,3,FALSE))</f>
        <v>173.92522467379413</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(2*I25)*2</f>
        <v>23.04</v>
      </c>
      <c r="K25" s="50">
        <f>J25*(VLOOKUP(OpdateretÅrstal,Prislistetillæg!$A$5:$C$61,3,FALSE)/VLOOKUP(Produktionsår,Prislistetillæg!$A$5:$C$61,3,FALSE))</f>
        <v>37.697433457048135</v>
      </c>
    </row>
    <row r="26" spans="1:11" ht="12.75" customHeight="1" x14ac:dyDescent="0.3">
      <c r="B26" s="26"/>
      <c r="C26" s="110"/>
      <c r="D26" s="111"/>
      <c r="E26" s="111"/>
      <c r="F26" s="111"/>
      <c r="G26" s="111"/>
      <c r="H26" s="112"/>
      <c r="I26" s="27"/>
      <c r="J26" s="40"/>
      <c r="K26" s="47"/>
    </row>
    <row r="27" spans="1:11" ht="12.75" customHeight="1" x14ac:dyDescent="0.3">
      <c r="B27" s="26"/>
      <c r="C27" s="110" t="s">
        <v>68</v>
      </c>
      <c r="D27" s="111"/>
      <c r="E27" s="111"/>
      <c r="F27" s="111"/>
      <c r="G27" s="111"/>
      <c r="H27" s="112"/>
      <c r="I27" s="28"/>
      <c r="J27" s="38">
        <f>SUM(J11:J19)</f>
        <v>2250.7600000000002</v>
      </c>
      <c r="K27" s="48">
        <f>J27*(VLOOKUP(OpdateretÅrstal,Prislistetillæg!$A$5:$C$61,3,FALSE)/VLOOKUP(Produktionsår,Prislistetillæg!$A$5:$C$61,3,FALSE))</f>
        <v>3682.6334777684751</v>
      </c>
    </row>
    <row r="28" spans="1:11" ht="12.75" customHeight="1" x14ac:dyDescent="0.3">
      <c r="B28" s="26"/>
      <c r="C28" s="113"/>
      <c r="D28" s="114"/>
      <c r="E28" s="114"/>
      <c r="F28" s="114"/>
      <c r="G28" s="114"/>
      <c r="H28" s="115"/>
      <c r="I28" s="28"/>
      <c r="K28" s="47"/>
    </row>
    <row r="29" spans="1:11" ht="13.5" customHeight="1" thickBot="1" x14ac:dyDescent="0.35">
      <c r="B29" s="32"/>
      <c r="C29" s="116" t="s">
        <v>69</v>
      </c>
      <c r="D29" s="117"/>
      <c r="E29" s="117"/>
      <c r="F29" s="117"/>
      <c r="G29" s="117"/>
      <c r="H29" s="118"/>
      <c r="I29" s="33"/>
      <c r="J29" s="41">
        <f>J27/(C6*F6)</f>
        <v>90.030400000000014</v>
      </c>
      <c r="K29" s="49">
        <f>J29*(VLOOKUP(OpdateretÅrstal,Prislistetillæg!$A$5:$C$61,3,FALSE)/VLOOKUP(Produktionsår,Prislistetillæg!$A$5:$C$61,3,FALSE))</f>
        <v>147.305339110739</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row r="44" spans="1:4" x14ac:dyDescent="0.3">
      <c r="D44" t="s">
        <v>92</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55">
    <tabColor theme="9" tint="-0.249977111117893"/>
  </sheetPr>
  <dimension ref="A1:K44"/>
  <sheetViews>
    <sheetView workbookViewId="0">
      <selection activeCell="N17" sqref="N17"/>
    </sheetView>
  </sheetViews>
  <sheetFormatPr defaultRowHeight="13.5" x14ac:dyDescent="0.3"/>
  <cols>
    <col min="9" max="9" width="9.4609375" customWidth="1"/>
    <col min="10" max="11" width="12.15234375" customWidth="1"/>
  </cols>
  <sheetData>
    <row r="1" spans="1:11" ht="14" thickBot="1" x14ac:dyDescent="0.35">
      <c r="A1" s="125" t="s">
        <v>142</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5</v>
      </c>
      <c r="D6" s="102" t="s">
        <v>32</v>
      </c>
      <c r="E6" s="103"/>
      <c r="F6" s="34">
        <v>6.8</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866.66</v>
      </c>
      <c r="K11" s="50">
        <f>J11*(VLOOKUP(OpdateretÅrstal,Prislistetillæg!$A$5:$C$61,3,FALSE)/VLOOKUP(Produktionsår,Prislistetillæg!$A$5:$C$61,3,FALSE))</f>
        <v>1418.0059756894677</v>
      </c>
    </row>
    <row r="12" spans="1:11" ht="25.5" customHeight="1" x14ac:dyDescent="0.3">
      <c r="B12" s="26" t="s">
        <v>42</v>
      </c>
      <c r="C12" s="101" t="s">
        <v>43</v>
      </c>
      <c r="D12" s="101"/>
      <c r="E12" s="101"/>
      <c r="F12" s="101"/>
      <c r="G12" s="101"/>
      <c r="H12" s="101"/>
      <c r="I12" s="28">
        <v>7.33</v>
      </c>
      <c r="J12" s="38">
        <f>($C$6*$F$6)*I12</f>
        <v>249.22</v>
      </c>
      <c r="K12" s="50">
        <f>J12*(VLOOKUP(OpdateretÅrstal,Prislistetillæg!$A$5:$C$61,3,FALSE)/VLOOKUP(Produktionsår,Prislistetillæg!$A$5:$C$61,3,FALSE))</f>
        <v>407.76711658704585</v>
      </c>
    </row>
    <row r="13" spans="1:11" x14ac:dyDescent="0.3">
      <c r="B13" s="26" t="s">
        <v>44</v>
      </c>
      <c r="C13" s="101" t="s">
        <v>45</v>
      </c>
      <c r="D13" s="101"/>
      <c r="E13" s="101"/>
      <c r="F13" s="101"/>
      <c r="G13" s="101"/>
      <c r="H13" s="101"/>
      <c r="I13" s="28">
        <v>12.79</v>
      </c>
      <c r="J13" s="39">
        <f>($C$6*$F$6)*2*I13</f>
        <v>869.71999999999991</v>
      </c>
      <c r="K13" s="50">
        <f>J13*(VLOOKUP(OpdateretÅrstal,Prislistetillæg!$A$5:$C$61,3,FALSE)/VLOOKUP(Produktionsår,Prislistetillæg!$A$5:$C$61,3,FALSE))</f>
        <v>1423.0126660704818</v>
      </c>
    </row>
    <row r="14" spans="1:11" ht="26.25" customHeight="1" x14ac:dyDescent="0.3">
      <c r="B14" s="26" t="s">
        <v>46</v>
      </c>
      <c r="C14" s="101" t="s">
        <v>47</v>
      </c>
      <c r="D14" s="101"/>
      <c r="E14" s="101"/>
      <c r="F14" s="101"/>
      <c r="G14" s="101"/>
      <c r="H14" s="101"/>
      <c r="I14" s="28">
        <v>9.36</v>
      </c>
      <c r="J14" s="39">
        <f>($C$6*$F$6)*2*I14</f>
        <v>636.48</v>
      </c>
      <c r="K14" s="50">
        <f>J14*(VLOOKUP(OpdateretÅrstal,Prislistetillæg!$A$5:$C$61,3,FALSE)/VLOOKUP(Produktionsår,Prislistetillæg!$A$5:$C$61,3,FALSE))</f>
        <v>1041.3915992509546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57.400000000000006</v>
      </c>
      <c r="K17" s="50">
        <f>J17*(VLOOKUP(OpdateretÅrstal,Prislistetillæg!$A$5:$C$61,3,FALSE)/VLOOKUP(Produktionsår,Prislistetillæg!$A$5:$C$61,3,FALSE))</f>
        <v>93.916348977194573</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184.55200000000002</v>
      </c>
      <c r="K19" s="50">
        <f>J19*(VLOOKUP(OpdateretÅrstal,Prislistetillæg!$A$5:$C$61,3,FALSE)/VLOOKUP(Produktionsår,Prislistetillæg!$A$5:$C$61,3,FALSE))</f>
        <v>301.95905986827898</v>
      </c>
    </row>
    <row r="20" spans="1:11" x14ac:dyDescent="0.3">
      <c r="B20" s="26" t="s">
        <v>56</v>
      </c>
      <c r="C20" s="97" t="s">
        <v>57</v>
      </c>
      <c r="D20" s="97"/>
      <c r="E20" s="97"/>
      <c r="F20" s="97"/>
      <c r="G20" s="97"/>
      <c r="H20" s="97"/>
      <c r="I20" s="28">
        <v>8.2200000000000006</v>
      </c>
      <c r="J20" s="51">
        <f>C6*I20</f>
        <v>41.1</v>
      </c>
      <c r="K20" s="50">
        <f>J20*(VLOOKUP(OpdateretÅrstal,Prislistetillæg!$A$5:$C$61,3,FALSE)/VLOOKUP(Produktionsår,Prislistetillæg!$A$5:$C$61,3,FALSE))</f>
        <v>67.246723744994725</v>
      </c>
    </row>
    <row r="21" spans="1:11" x14ac:dyDescent="0.3">
      <c r="B21" s="26" t="s">
        <v>58</v>
      </c>
      <c r="C21" s="97" t="s">
        <v>59</v>
      </c>
      <c r="D21" s="97"/>
      <c r="E21" s="97"/>
      <c r="F21" s="97"/>
      <c r="G21" s="97"/>
      <c r="H21" s="97"/>
      <c r="I21" s="28">
        <v>16.43</v>
      </c>
      <c r="J21" s="31">
        <f>C6*2*I21</f>
        <v>164.3</v>
      </c>
      <c r="K21" s="50">
        <f>J21*(VLOOKUP(OpdateretÅrstal,Prislistetillæg!$A$5:$C$61,3,FALSE)/VLOOKUP(Produktionsår,Prislistetillæg!$A$5:$C$61,3,FALSE))</f>
        <v>268.82327764726602</v>
      </c>
    </row>
    <row r="22" spans="1:11" x14ac:dyDescent="0.3">
      <c r="B22" s="26" t="s">
        <v>60</v>
      </c>
      <c r="C22" s="110" t="s">
        <v>61</v>
      </c>
      <c r="D22" s="111"/>
      <c r="E22" s="111"/>
      <c r="F22" s="111"/>
      <c r="G22" s="111"/>
      <c r="H22" s="112"/>
      <c r="I22" s="28">
        <v>32.729999999999997</v>
      </c>
      <c r="J22" s="38">
        <f>(2*I22)*13.2</f>
        <v>864.07199999999989</v>
      </c>
      <c r="K22" s="50">
        <f>J22*(VLOOKUP(OpdateretÅrstal,Prislistetillæg!$A$5:$C$61,3,FALSE)/VLOOKUP(Produktionsår,Prislistetillæg!$A$5:$C$61,3,FALSE))</f>
        <v>1413.771559118858</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61.371199999999995</v>
      </c>
      <c r="K24" s="50">
        <f>J24*(VLOOKUP(OpdateretÅrstal,Prislistetillæg!$A$5:$C$61,3,FALSE)/VLOOKUP(Produktionsår,Prislistetillæg!$A$5:$C$61,3,FALSE))</f>
        <v>100.41392049388855</v>
      </c>
    </row>
    <row r="25" spans="1:11" ht="24.75" customHeight="1" x14ac:dyDescent="0.3">
      <c r="B25" s="26" t="s">
        <v>66</v>
      </c>
      <c r="C25" s="110" t="s">
        <v>67</v>
      </c>
      <c r="D25" s="111"/>
      <c r="E25" s="111"/>
      <c r="F25" s="111"/>
      <c r="G25" s="111"/>
      <c r="H25" s="112"/>
      <c r="I25" s="28">
        <v>5.76</v>
      </c>
      <c r="J25" s="38">
        <f>(2*I25)*2</f>
        <v>23.04</v>
      </c>
      <c r="K25" s="50">
        <f>J25*(VLOOKUP(OpdateretÅrstal,Prislistetillæg!$A$5:$C$61,3,FALSE)/VLOOKUP(Produktionsår,Prislistetillæg!$A$5:$C$61,3,FALSE))</f>
        <v>37.697433457048135</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2972.9920000000002</v>
      </c>
      <c r="K27" s="48">
        <f>J27*(VLOOKUP(OpdateretÅrstal,Prislistetillæg!$A$5:$C$61,3,FALSE)/VLOOKUP(Produktionsår,Prislistetillæg!$A$5:$C$61,3,FALSE))</f>
        <v>4864.3302121673805</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87.440941176470588</v>
      </c>
      <c r="K29" s="49">
        <f>J29*(VLOOKUP(OpdateretÅrstal,Prislistetillæg!$A$5:$C$61,3,FALSE)/VLOOKUP(Produktionsår,Prislistetillæg!$A$5:$C$61,3,FALSE))</f>
        <v>143.06853565198179</v>
      </c>
    </row>
    <row r="32" spans="1:11" x14ac:dyDescent="0.3">
      <c r="A32" t="s">
        <v>70</v>
      </c>
    </row>
    <row r="33" spans="1:4" x14ac:dyDescent="0.3">
      <c r="A33" t="s">
        <v>71</v>
      </c>
    </row>
    <row r="36" spans="1:4" x14ac:dyDescent="0.3">
      <c r="A36" t="s">
        <v>75</v>
      </c>
      <c r="D36" t="s">
        <v>84</v>
      </c>
    </row>
    <row r="37" spans="1:4" x14ac:dyDescent="0.3">
      <c r="D37" t="s">
        <v>85</v>
      </c>
    </row>
    <row r="38" spans="1:4" x14ac:dyDescent="0.3">
      <c r="D38" t="s">
        <v>86</v>
      </c>
    </row>
    <row r="40" spans="1:4" x14ac:dyDescent="0.3">
      <c r="A40" t="s">
        <v>79</v>
      </c>
      <c r="D40" t="s">
        <v>80</v>
      </c>
    </row>
    <row r="41" spans="1:4" x14ac:dyDescent="0.3">
      <c r="D41" t="s">
        <v>81</v>
      </c>
    </row>
    <row r="43" spans="1:4" x14ac:dyDescent="0.3">
      <c r="D43" t="s">
        <v>82</v>
      </c>
    </row>
    <row r="44" spans="1:4" x14ac:dyDescent="0.3">
      <c r="D44" t="s">
        <v>92</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56">
    <tabColor theme="9" tint="-0.249977111117893"/>
  </sheetPr>
  <dimension ref="A1:K33"/>
  <sheetViews>
    <sheetView workbookViewId="0">
      <selection activeCell="N17" sqref="N17"/>
    </sheetView>
  </sheetViews>
  <sheetFormatPr defaultRowHeight="13.5" x14ac:dyDescent="0.3"/>
  <cols>
    <col min="9" max="9" width="10.4609375" customWidth="1"/>
    <col min="10" max="10" width="12.15234375" customWidth="1"/>
    <col min="11" max="11" width="12" customWidth="1"/>
  </cols>
  <sheetData>
    <row r="1" spans="1:11" ht="14" thickBot="1" x14ac:dyDescent="0.35">
      <c r="A1" s="125" t="s">
        <v>143</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20</v>
      </c>
      <c r="D6" s="102" t="s">
        <v>32</v>
      </c>
      <c r="E6" s="103"/>
      <c r="F6" s="34">
        <v>2.4</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1223.52</v>
      </c>
      <c r="K11" s="50">
        <f>J11*(VLOOKUP(OpdateretÅrstal,Prislistetillæg!$A$5:$C$61,3,FALSE)/VLOOKUP(Produktionsår,Prislistetillæg!$A$5:$C$61,3,FALSE))</f>
        <v>2001.8907892086602</v>
      </c>
    </row>
    <row r="12" spans="1:11" ht="24.75" customHeight="1" x14ac:dyDescent="0.3">
      <c r="B12" s="26" t="s">
        <v>42</v>
      </c>
      <c r="C12" s="101" t="s">
        <v>43</v>
      </c>
      <c r="D12" s="101"/>
      <c r="E12" s="101"/>
      <c r="F12" s="101"/>
      <c r="G12" s="101"/>
      <c r="H12" s="101"/>
      <c r="I12" s="28">
        <v>7.33</v>
      </c>
      <c r="J12" s="38">
        <f>($C$6*$F$6)*I12</f>
        <v>351.84000000000003</v>
      </c>
      <c r="K12" s="50">
        <f>J12*(VLOOKUP(OpdateretÅrstal,Prislistetillæg!$A$5:$C$61,3,FALSE)/VLOOKUP(Produktionsår,Prislistetillæg!$A$5:$C$61,3,FALSE))</f>
        <v>575.67122341700588</v>
      </c>
    </row>
    <row r="13" spans="1:11" x14ac:dyDescent="0.3">
      <c r="B13" s="26" t="s">
        <v>44</v>
      </c>
      <c r="C13" s="101" t="s">
        <v>45</v>
      </c>
      <c r="D13" s="101"/>
      <c r="E13" s="101"/>
      <c r="F13" s="101"/>
      <c r="G13" s="101"/>
      <c r="H13" s="101"/>
      <c r="I13" s="28">
        <v>12.79</v>
      </c>
      <c r="J13" s="39">
        <f>($C$6*$F$6)*2*I13</f>
        <v>1227.8399999999999</v>
      </c>
      <c r="K13" s="50">
        <f>J13*(VLOOKUP(OpdateretÅrstal,Prislistetillæg!$A$5:$C$61,3,FALSE)/VLOOKUP(Produktionsår,Prislistetillæg!$A$5:$C$61,3,FALSE))</f>
        <v>2008.9590579818566</v>
      </c>
    </row>
    <row r="14" spans="1:11" ht="26.25" customHeight="1" x14ac:dyDescent="0.3">
      <c r="B14" s="26" t="s">
        <v>46</v>
      </c>
      <c r="C14" s="101" t="s">
        <v>47</v>
      </c>
      <c r="D14" s="101"/>
      <c r="E14" s="101"/>
      <c r="F14" s="101"/>
      <c r="G14" s="101"/>
      <c r="H14" s="101"/>
      <c r="I14" s="28">
        <v>9.36</v>
      </c>
      <c r="J14" s="39">
        <f>($C$6*$F$6)*2*I14</f>
        <v>898.56</v>
      </c>
      <c r="K14" s="50">
        <f>J14*(VLOOKUP(OpdateretÅrstal,Prislistetillæg!$A$5:$C$61,3,FALSE)/VLOOKUP(Produktionsår,Prislistetillæg!$A$5:$C$61,3,FALSE))</f>
        <v>1470.1999048248772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350.33600000000001</v>
      </c>
      <c r="K19" s="50">
        <f>J19*(VLOOKUP(OpdateretÅrstal,Prislistetillæg!$A$5:$C$61,3,FALSE)/VLOOKUP(Produktionsår,Prislistetillæg!$A$5:$C$61,3,FALSE))</f>
        <v>573.21041873300419</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4161.0559999999996</v>
      </c>
      <c r="K27" s="48">
        <f>J27*(VLOOKUP(OpdateretÅrstal,Prislistetillæg!$A$5:$C$61,3,FALSE)/VLOOKUP(Produktionsår,Prislistetillæg!$A$5:$C$61,3,FALSE))</f>
        <v>6808.2088398893602</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86.688666666666663</v>
      </c>
      <c r="K29" s="49">
        <f>J29*(VLOOKUP(OpdateretÅrstal,Prislistetillæg!$A$5:$C$61,3,FALSE)/VLOOKUP(Produktionsår,Prislistetillæg!$A$5:$C$61,3,FALSE))</f>
        <v>141.83768416436169</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57">
    <tabColor theme="9" tint="-0.249977111117893"/>
  </sheetPr>
  <dimension ref="A1:K33"/>
  <sheetViews>
    <sheetView workbookViewId="0">
      <selection activeCell="N17" sqref="N17"/>
    </sheetView>
  </sheetViews>
  <sheetFormatPr defaultRowHeight="13.5" x14ac:dyDescent="0.3"/>
  <cols>
    <col min="9" max="9" width="10.4609375" customWidth="1"/>
    <col min="10" max="10" width="12.15234375" customWidth="1"/>
    <col min="11" max="11" width="12" customWidth="1"/>
  </cols>
  <sheetData>
    <row r="1" spans="1:11" ht="14" thickBot="1" x14ac:dyDescent="0.35">
      <c r="A1" s="125" t="s">
        <v>144</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20</v>
      </c>
      <c r="D6" s="102" t="s">
        <v>32</v>
      </c>
      <c r="E6" s="103"/>
      <c r="F6" s="34">
        <v>2.8</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1427.4399999999998</v>
      </c>
      <c r="K11" s="50">
        <f>J11*(VLOOKUP(OpdateretÅrstal,Prislistetillæg!$A$5:$C$61,3,FALSE)/VLOOKUP(Produktionsår,Prislistetillæg!$A$5:$C$61,3,FALSE))</f>
        <v>2335.5392540767698</v>
      </c>
    </row>
    <row r="12" spans="1:11" ht="24.75" customHeight="1" x14ac:dyDescent="0.3">
      <c r="B12" s="26" t="s">
        <v>42</v>
      </c>
      <c r="C12" s="101" t="s">
        <v>43</v>
      </c>
      <c r="D12" s="101"/>
      <c r="E12" s="101"/>
      <c r="F12" s="101"/>
      <c r="G12" s="101"/>
      <c r="H12" s="101"/>
      <c r="I12" s="28">
        <v>7.33</v>
      </c>
      <c r="J12" s="38">
        <f>($C$6*$F$6)*I12</f>
        <v>410.48</v>
      </c>
      <c r="K12" s="50">
        <f>J12*(VLOOKUP(OpdateretÅrstal,Prislistetillæg!$A$5:$C$61,3,FALSE)/VLOOKUP(Produktionsår,Prislistetillæg!$A$5:$C$61,3,FALSE))</f>
        <v>671.61642731984023</v>
      </c>
    </row>
    <row r="13" spans="1:11" x14ac:dyDescent="0.3">
      <c r="B13" s="26" t="s">
        <v>44</v>
      </c>
      <c r="C13" s="101" t="s">
        <v>45</v>
      </c>
      <c r="D13" s="101"/>
      <c r="E13" s="101"/>
      <c r="F13" s="101"/>
      <c r="G13" s="101"/>
      <c r="H13" s="101"/>
      <c r="I13" s="28">
        <v>12.79</v>
      </c>
      <c r="J13" s="39">
        <f>($C$6*$F$6)*2*I13</f>
        <v>1432.48</v>
      </c>
      <c r="K13" s="50">
        <f>J13*(VLOOKUP(OpdateretÅrstal,Prislistetillæg!$A$5:$C$61,3,FALSE)/VLOOKUP(Produktionsår,Prislistetillæg!$A$5:$C$61,3,FALSE))</f>
        <v>2343.7855676454997</v>
      </c>
    </row>
    <row r="14" spans="1:11" ht="26.25" customHeight="1" x14ac:dyDescent="0.3">
      <c r="B14" s="26" t="s">
        <v>46</v>
      </c>
      <c r="C14" s="101" t="s">
        <v>47</v>
      </c>
      <c r="D14" s="101"/>
      <c r="E14" s="101"/>
      <c r="F14" s="101"/>
      <c r="G14" s="101"/>
      <c r="H14" s="101"/>
      <c r="I14" s="28">
        <v>9.36</v>
      </c>
      <c r="J14" s="39">
        <f>($C$6*$F$6)*2*I14</f>
        <v>1048.32</v>
      </c>
      <c r="K14" s="50">
        <f>J14*(VLOOKUP(OpdateretÅrstal,Prislistetillæg!$A$5:$C$61,3,FALSE)/VLOOKUP(Produktionsår,Prislistetillæg!$A$5:$C$61,3,FALSE))</f>
        <v>1715.23322229569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114.80000000000001</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356.59200000000004</v>
      </c>
      <c r="K19" s="50">
        <f>J19*(VLOOKUP(OpdateretÅrstal,Prislistetillæg!$A$5:$C$61,3,FALSE)/VLOOKUP(Produktionsår,Prislistetillæg!$A$5:$C$61,3,FALSE))</f>
        <v>583.44631906752215</v>
      </c>
    </row>
    <row r="20" spans="1:11" ht="12.75" customHeight="1" x14ac:dyDescent="0.3">
      <c r="B20" s="26" t="s">
        <v>56</v>
      </c>
      <c r="C20" s="97" t="s">
        <v>57</v>
      </c>
      <c r="D20" s="97"/>
      <c r="E20" s="97"/>
      <c r="F20" s="97"/>
      <c r="G20" s="97"/>
      <c r="H20" s="97"/>
      <c r="I20" s="28">
        <v>1.93</v>
      </c>
      <c r="J20" s="51">
        <f>C6*I20</f>
        <v>38.6</v>
      </c>
      <c r="K20" s="50">
        <f>J20*(VLOOKUP(OpdateretÅrstal,Prislistetillæg!$A$5:$C$61,3,FALSE)/VLOOKUP(Produktionsår,Prislistetillæg!$A$5:$C$61,3,FALSE))</f>
        <v>63.156290427172657</v>
      </c>
    </row>
    <row r="21" spans="1:11" ht="12.75" customHeight="1" x14ac:dyDescent="0.3">
      <c r="B21" s="26" t="s">
        <v>58</v>
      </c>
      <c r="C21" s="97" t="s">
        <v>59</v>
      </c>
      <c r="D21" s="97"/>
      <c r="E21" s="97"/>
      <c r="F21" s="97"/>
      <c r="G21" s="97"/>
      <c r="H21" s="97"/>
      <c r="I21" s="28">
        <v>3.87</v>
      </c>
      <c r="J21" s="31">
        <f>C6*2*I21</f>
        <v>154.80000000000001</v>
      </c>
      <c r="K21" s="50">
        <f>J21*(VLOOKUP(OpdateretÅrstal,Prislistetillæg!$A$5:$C$61,3,FALSE)/VLOOKUP(Produktionsår,Prislistetillæg!$A$5:$C$61,3,FALSE))</f>
        <v>253.27963103954215</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4899.0719999999992</v>
      </c>
      <c r="K27" s="48">
        <f>J27*(VLOOKUP(OpdateretÅrstal,Prislistetillæg!$A$5:$C$61,3,FALSE)/VLOOKUP(Produktionsår,Prislistetillæg!$A$5:$C$61,3,FALSE))</f>
        <v>8015.7309340836664</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87.483428571428561</v>
      </c>
      <c r="K29" s="49">
        <f>J29*(VLOOKUP(OpdateretÅrstal,Prislistetillæg!$A$5:$C$61,3,FALSE)/VLOOKUP(Produktionsår,Prislistetillæg!$A$5:$C$61,3,FALSE))</f>
        <v>143.13805239435121</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58">
    <tabColor theme="9" tint="-0.249977111117893"/>
  </sheetPr>
  <dimension ref="A1:K33"/>
  <sheetViews>
    <sheetView workbookViewId="0">
      <selection activeCell="N17" sqref="N17"/>
    </sheetView>
  </sheetViews>
  <sheetFormatPr defaultRowHeight="13.5" x14ac:dyDescent="0.3"/>
  <cols>
    <col min="9" max="9" width="9.4609375" customWidth="1"/>
    <col min="10" max="11" width="12.15234375" customWidth="1"/>
  </cols>
  <sheetData>
    <row r="1" spans="1:11" ht="14" thickBot="1" x14ac:dyDescent="0.35">
      <c r="A1" s="125" t="s">
        <v>145</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20</v>
      </c>
      <c r="D6" s="102" t="s">
        <v>32</v>
      </c>
      <c r="E6" s="103"/>
      <c r="F6" s="34">
        <v>3.6</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1835.28</v>
      </c>
      <c r="K11" s="50">
        <f>J11*(VLOOKUP(OpdateretÅrstal,Prislistetillæg!$A$5:$C$61,3,FALSE)/VLOOKUP(Produktionsår,Prislistetillæg!$A$5:$C$61,3,FALSE))</f>
        <v>3002.8361838129904</v>
      </c>
    </row>
    <row r="12" spans="1:11" ht="24.75" customHeight="1" x14ac:dyDescent="0.3">
      <c r="B12" s="26" t="s">
        <v>42</v>
      </c>
      <c r="C12" s="101" t="s">
        <v>43</v>
      </c>
      <c r="D12" s="101"/>
      <c r="E12" s="101"/>
      <c r="F12" s="101"/>
      <c r="G12" s="101"/>
      <c r="H12" s="101"/>
      <c r="I12" s="28">
        <v>7.33</v>
      </c>
      <c r="J12" s="38">
        <f>($C$6*$F$6)*I12</f>
        <v>527.76</v>
      </c>
      <c r="K12" s="50">
        <f>J12*(VLOOKUP(OpdateretÅrstal,Prislistetillæg!$A$5:$C$61,3,FALSE)/VLOOKUP(Produktionsår,Prislistetillæg!$A$5:$C$61,3,FALSE))</f>
        <v>863.50683512550881</v>
      </c>
    </row>
    <row r="13" spans="1:11" x14ac:dyDescent="0.3">
      <c r="B13" s="26" t="s">
        <v>44</v>
      </c>
      <c r="C13" s="101" t="s">
        <v>45</v>
      </c>
      <c r="D13" s="101"/>
      <c r="E13" s="101"/>
      <c r="F13" s="101"/>
      <c r="G13" s="101"/>
      <c r="H13" s="101"/>
      <c r="I13" s="28">
        <v>12.79</v>
      </c>
      <c r="J13" s="39">
        <f>($C$6*$F$6)*2*I13</f>
        <v>1841.7599999999998</v>
      </c>
      <c r="K13" s="50">
        <f>J13*(VLOOKUP(OpdateretÅrstal,Prislistetillæg!$A$5:$C$61,3,FALSE)/VLOOKUP(Produktionsår,Prislistetillæg!$A$5:$C$61,3,FALSE))</f>
        <v>3013.4385869727848</v>
      </c>
    </row>
    <row r="14" spans="1:11" ht="25.5" customHeight="1" x14ac:dyDescent="0.3">
      <c r="B14" s="26" t="s">
        <v>46</v>
      </c>
      <c r="C14" s="101" t="s">
        <v>47</v>
      </c>
      <c r="D14" s="101"/>
      <c r="E14" s="101"/>
      <c r="F14" s="101"/>
      <c r="G14" s="101"/>
      <c r="H14" s="101"/>
      <c r="I14" s="28">
        <v>9.36</v>
      </c>
      <c r="J14" s="39">
        <f>($C$6*$F$6)*2*I14</f>
        <v>1347.84</v>
      </c>
      <c r="K14" s="50">
        <f>J14*(VLOOKUP(OpdateretÅrstal,Prislistetillæg!$A$5:$C$61,3,FALSE)/VLOOKUP(Produktionsår,Prislistetillæg!$A$5:$C$61,3,FALSE))</f>
        <v>2205.2998572373158</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4.75" customHeight="1" x14ac:dyDescent="0.3">
      <c r="B17" s="26" t="s">
        <v>52</v>
      </c>
      <c r="C17" s="101" t="s">
        <v>53</v>
      </c>
      <c r="D17" s="101"/>
      <c r="E17" s="101"/>
      <c r="F17" s="101"/>
      <c r="G17" s="101"/>
      <c r="H17" s="101"/>
      <c r="I17" s="28">
        <v>2.87</v>
      </c>
      <c r="J17" s="38">
        <f>2*C6*I17</f>
        <v>114.80000000000001</v>
      </c>
      <c r="K17" s="50">
        <f>J17*(VLOOKUP(OpdateretÅrstal,Prislistetillæg!$A$5:$C$61,3,FALSE)/VLOOKUP(Produktionsår,Prislistetillæg!$A$5:$C$61,3,FALSE))</f>
        <v>187.83269795438915</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369.10400000000004</v>
      </c>
      <c r="K19" s="50">
        <f>J19*(VLOOKUP(OpdateretÅrstal,Prislistetillæg!$A$5:$C$61,3,FALSE)/VLOOKUP(Produktionsår,Prislistetillæg!$A$5:$C$61,3,FALSE))</f>
        <v>603.91811973655797</v>
      </c>
    </row>
    <row r="20" spans="1:11" x14ac:dyDescent="0.3">
      <c r="B20" s="26" t="s">
        <v>56</v>
      </c>
      <c r="C20" s="97" t="s">
        <v>57</v>
      </c>
      <c r="D20" s="97"/>
      <c r="E20" s="97"/>
      <c r="F20" s="97"/>
      <c r="G20" s="97"/>
      <c r="H20" s="97"/>
      <c r="I20" s="28">
        <v>2.91</v>
      </c>
      <c r="J20" s="51">
        <f>C6*I20</f>
        <v>58.2</v>
      </c>
      <c r="K20" s="50">
        <f>J20*(VLOOKUP(OpdateretÅrstal,Prislistetillæg!$A$5:$C$61,3,FALSE)/VLOOKUP(Produktionsår,Prislistetillæg!$A$5:$C$61,3,FALSE))</f>
        <v>95.22528763889764</v>
      </c>
    </row>
    <row r="21" spans="1:11" x14ac:dyDescent="0.3">
      <c r="B21" s="26" t="s">
        <v>58</v>
      </c>
      <c r="C21" s="97" t="s">
        <v>59</v>
      </c>
      <c r="D21" s="97"/>
      <c r="E21" s="97"/>
      <c r="F21" s="97"/>
      <c r="G21" s="97"/>
      <c r="H21" s="97"/>
      <c r="I21" s="28">
        <v>5.79</v>
      </c>
      <c r="J21" s="31">
        <f>C6*2*I21</f>
        <v>231.6</v>
      </c>
      <c r="K21" s="50">
        <f>J21*(VLOOKUP(OpdateretÅrstal,Prislistetillæg!$A$5:$C$61,3,FALSE)/VLOOKUP(Produktionsår,Prislistetillæg!$A$5:$C$61,3,FALSE))</f>
        <v>378.9377425630359</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6145.5039999999999</v>
      </c>
      <c r="K27" s="48">
        <f>J27*(VLOOKUP(OpdateretÅrstal,Prislistetillæg!$A$5:$C$61,3,FALSE)/VLOOKUP(Produktionsår,Prislistetillæg!$A$5:$C$61,3,FALSE))</f>
        <v>10055.109726563504</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85.354222222222219</v>
      </c>
      <c r="K29" s="49">
        <f>J29*(VLOOKUP(OpdateretÅrstal,Prislistetillæg!$A$5:$C$61,3,FALSE)/VLOOKUP(Produktionsår,Prislistetillæg!$A$5:$C$61,3,FALSE))</f>
        <v>139.65430175782643</v>
      </c>
    </row>
    <row r="32" spans="1:11" x14ac:dyDescent="0.3">
      <c r="A32" t="s">
        <v>70</v>
      </c>
    </row>
    <row r="33" spans="1:1" x14ac:dyDescent="0.3">
      <c r="A33" t="s">
        <v>71</v>
      </c>
    </row>
  </sheetData>
  <mergeCells count="25">
    <mergeCell ref="C10:H10"/>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19:H19"/>
    <mergeCell ref="C20:H20"/>
    <mergeCell ref="C21:H21"/>
    <mergeCell ref="C29:H29"/>
    <mergeCell ref="C23:H23"/>
    <mergeCell ref="C24:H24"/>
    <mergeCell ref="C25:H25"/>
    <mergeCell ref="C26:H26"/>
    <mergeCell ref="C27:H27"/>
    <mergeCell ref="C28:H28"/>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59">
    <tabColor theme="9" tint="-0.249977111117893"/>
  </sheetPr>
  <dimension ref="A1:K44"/>
  <sheetViews>
    <sheetView workbookViewId="0">
      <selection activeCell="N17" sqref="N17"/>
    </sheetView>
  </sheetViews>
  <sheetFormatPr defaultRowHeight="13.5" x14ac:dyDescent="0.3"/>
  <cols>
    <col min="9" max="9" width="9.4609375" customWidth="1"/>
    <col min="10" max="11" width="13.23046875" customWidth="1"/>
  </cols>
  <sheetData>
    <row r="1" spans="1:11" ht="14" thickBot="1" x14ac:dyDescent="0.35">
      <c r="A1" s="125" t="s">
        <v>146</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20</v>
      </c>
      <c r="D6" s="102" t="s">
        <v>32</v>
      </c>
      <c r="E6" s="103"/>
      <c r="F6" s="34">
        <v>5</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2549</v>
      </c>
      <c r="K11" s="50">
        <f>J11*(VLOOKUP(OpdateretÅrstal,Prislistetillæg!$A$5:$C$61,3,FALSE)/VLOOKUP(Produktionsår,Prislistetillæg!$A$5:$C$61,3,FALSE))</f>
        <v>4170.6058108513753</v>
      </c>
    </row>
    <row r="12" spans="1:11" ht="25.5" customHeight="1" x14ac:dyDescent="0.3">
      <c r="B12" s="26" t="s">
        <v>42</v>
      </c>
      <c r="C12" s="101" t="s">
        <v>43</v>
      </c>
      <c r="D12" s="101"/>
      <c r="E12" s="101"/>
      <c r="F12" s="101"/>
      <c r="G12" s="101"/>
      <c r="H12" s="101"/>
      <c r="I12" s="28">
        <v>7.33</v>
      </c>
      <c r="J12" s="38">
        <f>($C$6*$F$6)*I12</f>
        <v>733</v>
      </c>
      <c r="K12" s="50">
        <f>J12*(VLOOKUP(OpdateretÅrstal,Prislistetillæg!$A$5:$C$61,3,FALSE)/VLOOKUP(Produktionsår,Prislistetillæg!$A$5:$C$61,3,FALSE))</f>
        <v>1199.3150487854289</v>
      </c>
    </row>
    <row r="13" spans="1:11" x14ac:dyDescent="0.3">
      <c r="B13" s="26" t="s">
        <v>44</v>
      </c>
      <c r="C13" s="101" t="s">
        <v>45</v>
      </c>
      <c r="D13" s="101"/>
      <c r="E13" s="101"/>
      <c r="F13" s="101"/>
      <c r="G13" s="101"/>
      <c r="H13" s="101"/>
      <c r="I13" s="28">
        <v>12.79</v>
      </c>
      <c r="J13" s="39">
        <f>($C$6*$F$6)*2*I13</f>
        <v>2558</v>
      </c>
      <c r="K13" s="50">
        <f>J13*(VLOOKUP(OpdateretÅrstal,Prislistetillæg!$A$5:$C$61,3,FALSE)/VLOOKUP(Produktionsår,Prislistetillæg!$A$5:$C$61,3,FALSE))</f>
        <v>4185.3313707955349</v>
      </c>
    </row>
    <row r="14" spans="1:11" ht="25.5" customHeight="1" x14ac:dyDescent="0.3">
      <c r="B14" s="26" t="s">
        <v>46</v>
      </c>
      <c r="C14" s="101" t="s">
        <v>47</v>
      </c>
      <c r="D14" s="101"/>
      <c r="E14" s="101"/>
      <c r="F14" s="101"/>
      <c r="G14" s="101"/>
      <c r="H14" s="101"/>
      <c r="I14" s="28">
        <v>9.36</v>
      </c>
      <c r="J14" s="39">
        <f>($C$6*$F$6)*2*I14</f>
        <v>1872</v>
      </c>
      <c r="K14" s="50">
        <f>J14*(VLOOKUP(OpdateretÅrstal,Prislistetillæg!$A$5:$C$61,3,FALSE)/VLOOKUP(Produktionsår,Prislistetillæg!$A$5:$C$61,3,FALSE))</f>
        <v>3062.9164683851609</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229.60000000000002</v>
      </c>
      <c r="K17" s="50">
        <f>J17*(VLOOKUP(OpdateretÅrstal,Prislistetillæg!$A$5:$C$61,3,FALSE)/VLOOKUP(Produktionsår,Prislistetillæg!$A$5:$C$61,3,FALSE))</f>
        <v>375.66539590877829</v>
      </c>
    </row>
    <row r="18" spans="1:11" ht="26.25" customHeight="1" x14ac:dyDescent="0.3">
      <c r="B18" s="26" t="s">
        <v>54</v>
      </c>
      <c r="C18" s="97" t="s">
        <v>55</v>
      </c>
      <c r="D18" s="97"/>
      <c r="E18" s="97"/>
      <c r="F18" s="97"/>
      <c r="G18" s="97"/>
      <c r="H18" s="97"/>
      <c r="I18" s="28">
        <v>3.91</v>
      </c>
      <c r="J18" s="52">
        <f>2*(2*(C6+F6))*I18</f>
        <v>391</v>
      </c>
      <c r="K18" s="50">
        <f>J18*(VLOOKUP(OpdateretÅrstal,Prislistetillæg!$A$5:$C$61,3,FALSE)/VLOOKUP(Produktionsår,Prislistetillæg!$A$5:$C$61,3,FALSE))</f>
        <v>639.74377090737062</v>
      </c>
    </row>
    <row r="19" spans="1:11" ht="12.75" customHeight="1" x14ac:dyDescent="0.3">
      <c r="B19" s="26" t="s">
        <v>98</v>
      </c>
      <c r="C19" s="110" t="s">
        <v>99</v>
      </c>
      <c r="D19" s="111"/>
      <c r="E19" s="111"/>
      <c r="F19" s="111"/>
      <c r="G19" s="111"/>
      <c r="H19" s="112"/>
      <c r="I19" s="73">
        <v>5.0000000000000001E-3</v>
      </c>
      <c r="J19" s="72">
        <f>(SUM(J11:J18)/100)*0.5</f>
        <v>42.207800000000006</v>
      </c>
      <c r="K19" s="50">
        <f>J19*(VLOOKUP(OpdateretÅrstal,Prislistetillæg!$A$5:$C$61,3,FALSE)/VLOOKUP(Produktionsår,Prislistetillæg!$A$5:$C$61,3,FALSE))</f>
        <v>69.059276556788035</v>
      </c>
    </row>
    <row r="20" spans="1:11" x14ac:dyDescent="0.3">
      <c r="B20" s="26" t="s">
        <v>56</v>
      </c>
      <c r="C20" s="97" t="s">
        <v>57</v>
      </c>
      <c r="D20" s="97"/>
      <c r="E20" s="97"/>
      <c r="F20" s="97"/>
      <c r="G20" s="97"/>
      <c r="H20" s="97"/>
      <c r="I20" s="28">
        <v>5.32</v>
      </c>
      <c r="J20" s="51">
        <f>C6*I20</f>
        <v>106.4</v>
      </c>
      <c r="K20" s="50">
        <f>J20*(VLOOKUP(OpdateretÅrstal,Prislistetillæg!$A$5:$C$61,3,FALSE)/VLOOKUP(Produktionsår,Prislistetillæg!$A$5:$C$61,3,FALSE))</f>
        <v>174.08884200650701</v>
      </c>
    </row>
    <row r="21" spans="1:11" x14ac:dyDescent="0.3">
      <c r="B21" s="26" t="s">
        <v>58</v>
      </c>
      <c r="C21" s="97" t="s">
        <v>59</v>
      </c>
      <c r="D21" s="97"/>
      <c r="E21" s="97"/>
      <c r="F21" s="97"/>
      <c r="G21" s="97"/>
      <c r="H21" s="97"/>
      <c r="I21" s="28">
        <v>10.63</v>
      </c>
      <c r="J21" s="31">
        <f>C6*2*I21</f>
        <v>425.20000000000005</v>
      </c>
      <c r="K21" s="50">
        <f>J21*(VLOOKUP(OpdateretÅrstal,Prislistetillæg!$A$5:$C$61,3,FALSE)/VLOOKUP(Produktionsår,Prislistetillæg!$A$5:$C$61,3,FALSE))</f>
        <v>695.70089869517653</v>
      </c>
    </row>
    <row r="22" spans="1:11" x14ac:dyDescent="0.3">
      <c r="B22" s="26" t="s">
        <v>60</v>
      </c>
      <c r="C22" s="110" t="s">
        <v>61</v>
      </c>
      <c r="D22" s="111"/>
      <c r="E22" s="111"/>
      <c r="F22" s="111"/>
      <c r="G22" s="111"/>
      <c r="H22" s="112"/>
      <c r="I22" s="28">
        <v>32.729999999999997</v>
      </c>
      <c r="J22" s="38">
        <f>(2*I22)*1.4</f>
        <v>91.643999999999991</v>
      </c>
      <c r="K22" s="50">
        <f>J22*(VLOOKUP(OpdateretÅrstal,Prislistetillæg!$A$5:$C$61,3,FALSE)/VLOOKUP(Produktionsår,Prislistetillæg!$A$5:$C$61,3,FALSE))</f>
        <v>149.94546839139406</v>
      </c>
    </row>
    <row r="23" spans="1:11" x14ac:dyDescent="0.3">
      <c r="B23" s="26" t="s">
        <v>62</v>
      </c>
      <c r="C23" s="110" t="s">
        <v>63</v>
      </c>
      <c r="D23" s="111"/>
      <c r="E23" s="111"/>
      <c r="F23" s="111"/>
      <c r="G23" s="111"/>
      <c r="H23" s="112"/>
      <c r="I23" s="28">
        <v>24.68</v>
      </c>
      <c r="J23" s="38">
        <f>(2*I23)*1.4</f>
        <v>69.103999999999999</v>
      </c>
      <c r="K23" s="50">
        <f>J23*(VLOOKUP(OpdateretÅrstal,Prislistetillæg!$A$5:$C$61,3,FALSE)/VLOOKUP(Produktionsår,Prislistetillæg!$A$5:$C$61,3,FALSE))</f>
        <v>113.06612159791034</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f>(2*I25)*8</f>
        <v>92.16</v>
      </c>
      <c r="K25" s="50">
        <f>J25*(VLOOKUP(OpdateretÅrstal,Prislistetillæg!$A$5:$C$61,3,FALSE)/VLOOKUP(Produktionsår,Prislistetillæg!$A$5:$C$61,3,FALSE))</f>
        <v>150.78973382819254</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SUM(J11:J18)</f>
        <v>8441.5600000000013</v>
      </c>
      <c r="K27" s="48">
        <f>J27*(VLOOKUP(OpdateretÅrstal,Prislistetillæg!$A$5:$C$61,3,FALSE)/VLOOKUP(Produktionsår,Prislistetillæg!$A$5:$C$61,3,FALSE))</f>
        <v>13811.855311357609</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84.415600000000012</v>
      </c>
      <c r="K29" s="49">
        <f>J29*(VLOOKUP(OpdateretÅrstal,Prislistetillæg!$A$5:$C$61,3,FALSE)/VLOOKUP(Produktionsår,Prislistetillæg!$A$5:$C$61,3,FALSE))</f>
        <v>138.11855311357607</v>
      </c>
    </row>
    <row r="32" spans="1:11" x14ac:dyDescent="0.3">
      <c r="A32" t="s">
        <v>70</v>
      </c>
    </row>
    <row r="33" spans="1:4" x14ac:dyDescent="0.3">
      <c r="A33" t="s">
        <v>71</v>
      </c>
    </row>
    <row r="36" spans="1:4" x14ac:dyDescent="0.3">
      <c r="A36" t="s">
        <v>75</v>
      </c>
      <c r="D36" t="s">
        <v>76</v>
      </c>
    </row>
    <row r="37" spans="1:4" x14ac:dyDescent="0.3">
      <c r="D37" t="s">
        <v>77</v>
      </c>
    </row>
    <row r="38" spans="1:4" x14ac:dyDescent="0.3">
      <c r="D38" t="s">
        <v>78</v>
      </c>
    </row>
    <row r="40" spans="1:4" x14ac:dyDescent="0.3">
      <c r="A40" t="s">
        <v>79</v>
      </c>
      <c r="D40" t="s">
        <v>80</v>
      </c>
    </row>
    <row r="41" spans="1:4" x14ac:dyDescent="0.3">
      <c r="D41" t="s">
        <v>81</v>
      </c>
    </row>
    <row r="43" spans="1:4" x14ac:dyDescent="0.3">
      <c r="D43" t="s">
        <v>82</v>
      </c>
    </row>
    <row r="44" spans="1:4" x14ac:dyDescent="0.3">
      <c r="D44" t="s">
        <v>100</v>
      </c>
    </row>
  </sheetData>
  <mergeCells count="25">
    <mergeCell ref="C10:H10"/>
    <mergeCell ref="C19:H19"/>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20:H20"/>
    <mergeCell ref="C21:H21"/>
    <mergeCell ref="C29:H29"/>
    <mergeCell ref="C23:H23"/>
    <mergeCell ref="C24:H24"/>
    <mergeCell ref="C25:H25"/>
    <mergeCell ref="C26:H26"/>
    <mergeCell ref="C27:H27"/>
    <mergeCell ref="C28:H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A1:K4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98" t="s">
        <v>83</v>
      </c>
      <c r="B1" s="99"/>
      <c r="C1" s="99"/>
      <c r="D1" s="99"/>
      <c r="E1" s="99"/>
      <c r="F1" s="99"/>
      <c r="G1" s="99"/>
      <c r="H1" s="99"/>
      <c r="I1" s="99"/>
      <c r="J1" s="99"/>
      <c r="K1" s="100"/>
    </row>
    <row r="3" spans="1:11" x14ac:dyDescent="0.3">
      <c r="A3" t="s">
        <v>29</v>
      </c>
      <c r="D3" s="36">
        <v>2014</v>
      </c>
      <c r="E3" t="s">
        <v>30</v>
      </c>
    </row>
    <row r="6" spans="1:11" x14ac:dyDescent="0.3">
      <c r="A6" s="102" t="s">
        <v>31</v>
      </c>
      <c r="B6" s="103"/>
      <c r="C6" s="34">
        <v>2</v>
      </c>
      <c r="D6" s="102" t="s">
        <v>32</v>
      </c>
      <c r="E6" s="103"/>
      <c r="F6" s="34">
        <v>6.8</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459.952</v>
      </c>
      <c r="K11" s="50">
        <f>J11*(VLOOKUP(OpdateretÅrstal,Prislistetillæg!$A$5:$C$61,3,FALSE)/VLOOKUP(Produktionsår,Prislistetillæg!$A$5:$C$61,3,FALSE))</f>
        <v>752.56119415955743</v>
      </c>
    </row>
    <row r="12" spans="1:11" ht="25.5" customHeight="1" x14ac:dyDescent="0.3">
      <c r="B12" s="26" t="s">
        <v>42</v>
      </c>
      <c r="C12" s="101" t="s">
        <v>43</v>
      </c>
      <c r="D12" s="101"/>
      <c r="E12" s="101"/>
      <c r="F12" s="101"/>
      <c r="G12" s="101"/>
      <c r="H12" s="101"/>
      <c r="I12" s="28">
        <v>7.33</v>
      </c>
      <c r="J12" s="38">
        <f>($C$6*$F$6)*I12</f>
        <v>99.688000000000002</v>
      </c>
      <c r="K12" s="50">
        <f>J12*(VLOOKUP(OpdateretÅrstal,Prislistetillæg!$A$5:$C$61,3,FALSE)/VLOOKUP(Produktionsår,Prislistetillæg!$A$5:$C$61,3,FALSE))</f>
        <v>163.10684663481834</v>
      </c>
    </row>
    <row r="13" spans="1:11" x14ac:dyDescent="0.3">
      <c r="B13" s="26" t="s">
        <v>44</v>
      </c>
      <c r="C13" s="101" t="s">
        <v>45</v>
      </c>
      <c r="D13" s="101"/>
      <c r="E13" s="101"/>
      <c r="F13" s="101"/>
      <c r="G13" s="101"/>
      <c r="H13" s="101"/>
      <c r="I13" s="28">
        <v>18.29</v>
      </c>
      <c r="J13" s="39">
        <f>($C$6*$F$6)*2*I13</f>
        <v>497.48799999999994</v>
      </c>
      <c r="K13" s="50">
        <f>J13*(VLOOKUP(OpdateretÅrstal,Prislistetillæg!$A$5:$C$61,3,FALSE)/VLOOKUP(Produktionsår,Prislistetillæg!$A$5:$C$61,3,FALSE))</f>
        <v>813.97659616666488</v>
      </c>
    </row>
    <row r="14" spans="1:11" ht="24.75" customHeight="1" x14ac:dyDescent="0.3">
      <c r="B14" s="26" t="s">
        <v>46</v>
      </c>
      <c r="C14" s="101" t="s">
        <v>47</v>
      </c>
      <c r="D14" s="101"/>
      <c r="E14" s="101"/>
      <c r="F14" s="101"/>
      <c r="G14" s="101"/>
      <c r="H14" s="101"/>
      <c r="I14" s="28">
        <v>9.36</v>
      </c>
      <c r="J14" s="39">
        <f>($C$6*$F$6)*2*I14</f>
        <v>254.59199999999998</v>
      </c>
      <c r="K14" s="50">
        <f>J14*(VLOOKUP(OpdateretÅrstal,Prislistetillæg!$A$5:$C$61,3,FALSE)/VLOOKUP(Produktionsår,Prislistetillæg!$A$5:$C$61,3,FALSE))</f>
        <v>416.55663970038182</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5.5" customHeight="1" x14ac:dyDescent="0.3">
      <c r="B17" s="26" t="s">
        <v>52</v>
      </c>
      <c r="C17" s="101" t="s">
        <v>53</v>
      </c>
      <c r="D17" s="101"/>
      <c r="E17" s="101"/>
      <c r="F17" s="101"/>
      <c r="G17" s="101"/>
      <c r="H17" s="101"/>
      <c r="I17" s="28">
        <v>2.87</v>
      </c>
      <c r="J17" s="38">
        <f>4*C6*I17</f>
        <v>22.96</v>
      </c>
      <c r="K17" s="50">
        <f>J17*(VLOOKUP(OpdateretÅrstal,Prislistetillæg!$A$5:$C$61,3,FALSE)/VLOOKUP(Produktionsår,Prislistetillæg!$A$5:$C$61,3,FALSE))</f>
        <v>37.566539590877831</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6.25" customHeight="1" x14ac:dyDescent="0.3">
      <c r="B19" s="26" t="s">
        <v>54</v>
      </c>
      <c r="C19" s="97" t="s">
        <v>55</v>
      </c>
      <c r="D19" s="97"/>
      <c r="E19" s="97"/>
      <c r="F19" s="97"/>
      <c r="G19" s="97"/>
      <c r="H19" s="97"/>
      <c r="I19" s="28">
        <v>3.91</v>
      </c>
      <c r="J19" s="52">
        <f>2*(2*(C6+F6))*I19</f>
        <v>137.63200000000001</v>
      </c>
      <c r="K19" s="50">
        <f>J19*(VLOOKUP(OpdateretÅrstal,Prislistetillæg!$A$5:$C$61,3,FALSE)/VLOOKUP(Produktionsår,Prislistetillæg!$A$5:$C$61,3,FALSE))</f>
        <v>225.18980735939448</v>
      </c>
    </row>
    <row r="20" spans="1:11" x14ac:dyDescent="0.3">
      <c r="B20" s="26" t="s">
        <v>56</v>
      </c>
      <c r="C20" s="97" t="s">
        <v>57</v>
      </c>
      <c r="D20" s="97"/>
      <c r="E20" s="97"/>
      <c r="F20" s="97"/>
      <c r="G20" s="97"/>
      <c r="H20" s="97"/>
      <c r="I20" s="28">
        <v>8.2200000000000006</v>
      </c>
      <c r="J20" s="51">
        <f>C6*I20</f>
        <v>16.440000000000001</v>
      </c>
      <c r="K20" s="50">
        <f>J20*(VLOOKUP(OpdateretÅrstal,Prislistetillæg!$A$5:$C$61,3,FALSE)/VLOOKUP(Produktionsår,Prislistetillæg!$A$5:$C$61,3,FALSE))</f>
        <v>26.898689497997889</v>
      </c>
    </row>
    <row r="21" spans="1:11" x14ac:dyDescent="0.3">
      <c r="B21" s="26" t="s">
        <v>58</v>
      </c>
      <c r="C21" s="97" t="s">
        <v>59</v>
      </c>
      <c r="D21" s="97"/>
      <c r="E21" s="97"/>
      <c r="F21" s="97"/>
      <c r="G21" s="97"/>
      <c r="H21" s="97"/>
      <c r="I21" s="28">
        <v>16.43</v>
      </c>
      <c r="J21" s="31">
        <f>C6*2*I21</f>
        <v>65.72</v>
      </c>
      <c r="K21" s="50">
        <f>J21*(VLOOKUP(OpdateretÅrstal,Prislistetillæg!$A$5:$C$61,3,FALSE)/VLOOKUP(Produktionsår,Prislistetillæg!$A$5:$C$61,3,FALSE))</f>
        <v>107.52931105890639</v>
      </c>
    </row>
    <row r="22" spans="1:11" x14ac:dyDescent="0.3">
      <c r="B22" s="26" t="s">
        <v>60</v>
      </c>
      <c r="C22" s="110" t="s">
        <v>61</v>
      </c>
      <c r="D22" s="111"/>
      <c r="E22" s="111"/>
      <c r="F22" s="111"/>
      <c r="G22" s="111"/>
      <c r="H22" s="112"/>
      <c r="I22" s="28">
        <v>32.729999999999997</v>
      </c>
      <c r="J22" s="38">
        <f>(2*I22)*3.2</f>
        <v>209.47199999999998</v>
      </c>
      <c r="K22" s="50">
        <f>J22*(VLOOKUP(OpdateretÅrstal,Prislistetillæg!$A$5:$C$61,3,FALSE)/VLOOKUP(Produktionsår,Prislistetillæg!$A$5:$C$61,3,FALSE))</f>
        <v>342.73249918032923</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22.479199999999999</v>
      </c>
      <c r="K24" s="50">
        <f>J24*(VLOOKUP(OpdateretÅrstal,Prislistetillæg!$A$5:$C$61,3,FALSE)/VLOOKUP(Produktionsår,Prislistetillæg!$A$5:$C$61,3,FALSE))</f>
        <v>36.779867455194285</v>
      </c>
    </row>
    <row r="25" spans="1:11" ht="24.75" customHeight="1" x14ac:dyDescent="0.3">
      <c r="B25" s="26" t="s">
        <v>66</v>
      </c>
      <c r="C25" s="110" t="s">
        <v>67</v>
      </c>
      <c r="D25" s="111"/>
      <c r="E25" s="111"/>
      <c r="F25" s="111"/>
      <c r="G25" s="111"/>
      <c r="H25" s="112"/>
      <c r="I25" s="28">
        <v>5.76</v>
      </c>
      <c r="J25" s="38">
        <f>(2*I25)*1</f>
        <v>11.52</v>
      </c>
      <c r="K25" s="50">
        <f>J25*(VLOOKUP(OpdateretÅrstal,Prislistetillæg!$A$5:$C$61,3,FALSE)/VLOOKUP(Produktionsår,Prislistetillæg!$A$5:$C$61,3,FALSE))</f>
        <v>18.848716728524067</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1581.2719999999999</v>
      </c>
      <c r="K27" s="48">
        <f>J27*(VLOOKUP(OpdateretÅrstal,Prislistetillæg!$A$5:$C$61,3,FALSE)/VLOOKUP(Produktionsår,Prislistetillæg!$A$5:$C$61,3,FALSE))</f>
        <v>2587.2350693356516</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116.27</v>
      </c>
      <c r="K29" s="49">
        <f>J29*(VLOOKUP(OpdateretÅrstal,Prislistetillæg!$A$5:$C$61,3,FALSE)/VLOOKUP(Produktionsår,Prislistetillæg!$A$5:$C$61,3,FALSE))</f>
        <v>190.2378727452685</v>
      </c>
    </row>
    <row r="32" spans="1:11" x14ac:dyDescent="0.3">
      <c r="A32" t="s">
        <v>70</v>
      </c>
    </row>
    <row r="33" spans="1:4" x14ac:dyDescent="0.3">
      <c r="A33" t="s">
        <v>71</v>
      </c>
    </row>
    <row r="36" spans="1:4" x14ac:dyDescent="0.3">
      <c r="A36" t="s">
        <v>75</v>
      </c>
      <c r="D36" t="s">
        <v>84</v>
      </c>
    </row>
    <row r="37" spans="1:4" x14ac:dyDescent="0.3">
      <c r="D37" t="s">
        <v>85</v>
      </c>
    </row>
    <row r="38" spans="1:4" x14ac:dyDescent="0.3">
      <c r="D38" t="s">
        <v>86</v>
      </c>
    </row>
    <row r="40" spans="1:4" x14ac:dyDescent="0.3">
      <c r="A40" t="s">
        <v>79</v>
      </c>
      <c r="D40" t="s">
        <v>80</v>
      </c>
    </row>
    <row r="41" spans="1:4" x14ac:dyDescent="0.3">
      <c r="D41" t="s">
        <v>81</v>
      </c>
    </row>
    <row r="43" spans="1:4" x14ac:dyDescent="0.3">
      <c r="D43" t="s">
        <v>87</v>
      </c>
    </row>
  </sheetData>
  <mergeCells count="25">
    <mergeCell ref="C16:H16"/>
    <mergeCell ref="A1:K1"/>
    <mergeCell ref="A6:B6"/>
    <mergeCell ref="D6:E6"/>
    <mergeCell ref="G6:I6"/>
    <mergeCell ref="C10:H10"/>
    <mergeCell ref="C11:H11"/>
    <mergeCell ref="C12:H12"/>
    <mergeCell ref="C13:H13"/>
    <mergeCell ref="C14:H14"/>
    <mergeCell ref="C15:H15"/>
    <mergeCell ref="C9:H9"/>
    <mergeCell ref="C27:H27"/>
    <mergeCell ref="C28:H28"/>
    <mergeCell ref="C29:H29"/>
    <mergeCell ref="C17:H17"/>
    <mergeCell ref="C18:H18"/>
    <mergeCell ref="C19:H19"/>
    <mergeCell ref="C20:H20"/>
    <mergeCell ref="C21:H21"/>
    <mergeCell ref="C26:H26"/>
    <mergeCell ref="C22:H22"/>
    <mergeCell ref="C23:H23"/>
    <mergeCell ref="C24:H24"/>
    <mergeCell ref="C25:H25"/>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60">
    <tabColor theme="9" tint="-0.249977111117893"/>
  </sheetPr>
  <dimension ref="A1:K43"/>
  <sheetViews>
    <sheetView workbookViewId="0">
      <selection activeCell="N17" sqref="N17"/>
    </sheetView>
  </sheetViews>
  <sheetFormatPr defaultRowHeight="13.5" x14ac:dyDescent="0.3"/>
  <cols>
    <col min="9" max="9" width="10.4609375" customWidth="1"/>
    <col min="10" max="11" width="13.23046875" customWidth="1"/>
  </cols>
  <sheetData>
    <row r="1" spans="1:11" ht="14" thickBot="1" x14ac:dyDescent="0.35">
      <c r="A1" s="125" t="s">
        <v>147</v>
      </c>
      <c r="B1" s="126"/>
      <c r="C1" s="126"/>
      <c r="D1" s="126"/>
      <c r="E1" s="126"/>
      <c r="F1" s="126"/>
      <c r="G1" s="126"/>
      <c r="H1" s="126"/>
      <c r="I1" s="126"/>
      <c r="J1" s="126"/>
      <c r="K1" s="127"/>
    </row>
    <row r="3" spans="1:11" x14ac:dyDescent="0.3">
      <c r="A3" t="s">
        <v>29</v>
      </c>
      <c r="D3" s="36">
        <v>2014</v>
      </c>
      <c r="E3" t="s">
        <v>30</v>
      </c>
    </row>
    <row r="6" spans="1:11" x14ac:dyDescent="0.3">
      <c r="A6" s="102" t="s">
        <v>31</v>
      </c>
      <c r="B6" s="103"/>
      <c r="C6" s="34">
        <v>20</v>
      </c>
      <c r="D6" s="102" t="s">
        <v>32</v>
      </c>
      <c r="E6" s="103"/>
      <c r="F6" s="34">
        <v>6.8</v>
      </c>
      <c r="G6" s="102" t="s">
        <v>134</v>
      </c>
      <c r="H6" s="103"/>
      <c r="I6" s="103"/>
      <c r="J6" s="35">
        <v>650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25.49</v>
      </c>
      <c r="J11" s="37">
        <f>($C$6*$F$6)*I11</f>
        <v>3466.64</v>
      </c>
      <c r="K11" s="50">
        <f>J11*(VLOOKUP(OpdateretÅrstal,Prislistetillæg!$A$5:$C$61,3,FALSE)/VLOOKUP(Produktionsår,Prislistetillæg!$A$5:$C$61,3,FALSE))</f>
        <v>5672.0239027578709</v>
      </c>
    </row>
    <row r="12" spans="1:11" ht="24.75" customHeight="1" x14ac:dyDescent="0.3">
      <c r="B12" s="26" t="s">
        <v>42</v>
      </c>
      <c r="C12" s="101" t="s">
        <v>43</v>
      </c>
      <c r="D12" s="101"/>
      <c r="E12" s="101"/>
      <c r="F12" s="101"/>
      <c r="G12" s="101"/>
      <c r="H12" s="101"/>
      <c r="I12" s="28">
        <v>7.33</v>
      </c>
      <c r="J12" s="38">
        <f>($C$6*$F$6)*I12</f>
        <v>996.88</v>
      </c>
      <c r="K12" s="50">
        <f>J12*(VLOOKUP(OpdateretÅrstal,Prislistetillæg!$A$5:$C$61,3,FALSE)/VLOOKUP(Produktionsår,Prislistetillæg!$A$5:$C$61,3,FALSE))</f>
        <v>1631.0684663481834</v>
      </c>
    </row>
    <row r="13" spans="1:11" x14ac:dyDescent="0.3">
      <c r="B13" s="26" t="s">
        <v>44</v>
      </c>
      <c r="C13" s="101" t="s">
        <v>45</v>
      </c>
      <c r="D13" s="101"/>
      <c r="E13" s="101"/>
      <c r="F13" s="101"/>
      <c r="G13" s="101"/>
      <c r="H13" s="101"/>
      <c r="I13" s="28">
        <v>12.79</v>
      </c>
      <c r="J13" s="39">
        <f>($C$6*$F$6)*2*I13</f>
        <v>3478.8799999999997</v>
      </c>
      <c r="K13" s="50">
        <f>J13*(VLOOKUP(OpdateretÅrstal,Prislistetillæg!$A$5:$C$61,3,FALSE)/VLOOKUP(Produktionsår,Prislistetillæg!$A$5:$C$61,3,FALSE))</f>
        <v>5692.0506642819273</v>
      </c>
    </row>
    <row r="14" spans="1:11" ht="26.25" customHeight="1" x14ac:dyDescent="0.3">
      <c r="B14" s="26" t="s">
        <v>46</v>
      </c>
      <c r="C14" s="101" t="s">
        <v>47</v>
      </c>
      <c r="D14" s="101"/>
      <c r="E14" s="101"/>
      <c r="F14" s="101"/>
      <c r="G14" s="101"/>
      <c r="H14" s="101"/>
      <c r="I14" s="28">
        <v>9.36</v>
      </c>
      <c r="J14" s="39">
        <f>($C$6*$F$6)*2*I14</f>
        <v>2545.92</v>
      </c>
      <c r="K14" s="50">
        <f>J14*(VLOOKUP(OpdateretÅrstal,Prislistetillæg!$A$5:$C$61,3,FALSE)/VLOOKUP(Produktionsår,Prislistetillæg!$A$5:$C$61,3,FALSE))</f>
        <v>4165.5663970038186</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28" t="s">
        <v>53</v>
      </c>
      <c r="D17" s="129"/>
      <c r="E17" s="129"/>
      <c r="F17" s="129"/>
      <c r="G17" s="129"/>
      <c r="H17" s="130"/>
      <c r="I17" s="28">
        <v>2.87</v>
      </c>
      <c r="J17" s="38">
        <f>4*C6*I17</f>
        <v>229.60000000000002</v>
      </c>
      <c r="K17" s="50">
        <f>J17*(VLOOKUP(OpdateretÅrstal,Prislistetillæg!$A$5:$C$61,3,FALSE)/VLOOKUP(Produktionsår,Prislistetillæg!$A$5:$C$61,3,FALSE))</f>
        <v>375.66539590877829</v>
      </c>
    </row>
    <row r="18" spans="1:11" ht="27" customHeight="1" x14ac:dyDescent="0.3">
      <c r="B18" s="26" t="s">
        <v>54</v>
      </c>
      <c r="C18" s="97" t="s">
        <v>55</v>
      </c>
      <c r="D18" s="97"/>
      <c r="E18" s="97"/>
      <c r="F18" s="97"/>
      <c r="G18" s="97"/>
      <c r="H18" s="97"/>
      <c r="I18" s="28">
        <v>3.91</v>
      </c>
      <c r="J18" s="52">
        <f>2*(2*(C6+F6))*I18</f>
        <v>419.15200000000004</v>
      </c>
      <c r="K18" s="50">
        <f>J18*(VLOOKUP(OpdateretÅrstal,Prislistetillæg!$A$5:$C$61,3,FALSE)/VLOOKUP(Produktionsår,Prislistetillæg!$A$5:$C$61,3,FALSE))</f>
        <v>685.80532241270146</v>
      </c>
    </row>
    <row r="19" spans="1:11" ht="12.75" customHeight="1" x14ac:dyDescent="0.3">
      <c r="B19" s="26" t="s">
        <v>98</v>
      </c>
      <c r="C19" s="110" t="s">
        <v>99</v>
      </c>
      <c r="D19" s="111"/>
      <c r="E19" s="111"/>
      <c r="F19" s="111"/>
      <c r="G19" s="111"/>
      <c r="H19" s="112"/>
      <c r="I19" s="73">
        <v>0.01</v>
      </c>
      <c r="J19" s="72">
        <f>(SUM(J11:J18)/100)</f>
        <v>112.46032</v>
      </c>
      <c r="K19" s="50">
        <f>J19*(VLOOKUP(OpdateretÅrstal,Prislistetillæg!$A$5:$C$61,3,FALSE)/VLOOKUP(Produktionsår,Prislistetillæg!$A$5:$C$61,3,FALSE))</f>
        <v>184.00457594437236</v>
      </c>
    </row>
    <row r="20" spans="1:11" ht="12.75" customHeight="1" x14ac:dyDescent="0.3">
      <c r="B20" s="26" t="s">
        <v>56</v>
      </c>
      <c r="C20" s="97" t="s">
        <v>57</v>
      </c>
      <c r="D20" s="97"/>
      <c r="E20" s="97"/>
      <c r="F20" s="97"/>
      <c r="G20" s="97"/>
      <c r="H20" s="97"/>
      <c r="I20" s="28">
        <v>8.2200000000000006</v>
      </c>
      <c r="J20" s="51">
        <f>C6*I20</f>
        <v>164.4</v>
      </c>
      <c r="K20" s="50">
        <f>J20*(VLOOKUP(OpdateretÅrstal,Prislistetillæg!$A$5:$C$61,3,FALSE)/VLOOKUP(Produktionsår,Prislistetillæg!$A$5:$C$61,3,FALSE))</f>
        <v>268.9868949799789</v>
      </c>
    </row>
    <row r="21" spans="1:11" ht="12.75" customHeight="1" x14ac:dyDescent="0.3">
      <c r="B21" s="26" t="s">
        <v>58</v>
      </c>
      <c r="C21" s="97" t="s">
        <v>59</v>
      </c>
      <c r="D21" s="97"/>
      <c r="E21" s="97"/>
      <c r="F21" s="97"/>
      <c r="G21" s="97"/>
      <c r="H21" s="97"/>
      <c r="I21" s="28">
        <v>16.43</v>
      </c>
      <c r="J21" s="31">
        <f>C6*2*I21</f>
        <v>657.2</v>
      </c>
      <c r="K21" s="50">
        <f>J21*(VLOOKUP(OpdateretÅrstal,Prislistetillæg!$A$5:$C$61,3,FALSE)/VLOOKUP(Produktionsår,Prislistetillæg!$A$5:$C$61,3,FALSE))</f>
        <v>1075.2931105890641</v>
      </c>
    </row>
    <row r="22" spans="1:11" x14ac:dyDescent="0.3">
      <c r="B22" s="26" t="s">
        <v>60</v>
      </c>
      <c r="C22" s="110" t="s">
        <v>61</v>
      </c>
      <c r="D22" s="111"/>
      <c r="E22" s="111"/>
      <c r="F22" s="111"/>
      <c r="G22" s="111"/>
      <c r="H22" s="112"/>
      <c r="I22" s="28">
        <v>32.729999999999997</v>
      </c>
      <c r="J22" s="38">
        <f>(2*I22)*3.2</f>
        <v>209.47199999999998</v>
      </c>
      <c r="K22" s="50">
        <f>J22*(VLOOKUP(OpdateretÅrstal,Prislistetillæg!$A$5:$C$61,3,FALSE)/VLOOKUP(Produktionsår,Prislistetillæg!$A$5:$C$61,3,FALSE))</f>
        <v>342.73249918032923</v>
      </c>
    </row>
    <row r="23" spans="1:11" x14ac:dyDescent="0.3">
      <c r="B23" s="26" t="s">
        <v>62</v>
      </c>
      <c r="C23" s="110" t="s">
        <v>63</v>
      </c>
      <c r="D23" s="111"/>
      <c r="E23" s="111"/>
      <c r="F23" s="111"/>
      <c r="G23" s="111"/>
      <c r="H23" s="112"/>
      <c r="I23" s="28">
        <v>24.68</v>
      </c>
      <c r="J23" s="38">
        <f>(2*I23)*3.2</f>
        <v>157.952</v>
      </c>
      <c r="K23" s="50">
        <f>J23*(VLOOKUP(OpdateretÅrstal,Prislistetillæg!$A$5:$C$61,3,FALSE)/VLOOKUP(Produktionsår,Prislistetillæg!$A$5:$C$61,3,FALSE))</f>
        <v>258.43684936665221</v>
      </c>
    </row>
    <row r="24" spans="1:11" ht="38.25" customHeight="1" x14ac:dyDescent="0.3">
      <c r="B24" s="26" t="s">
        <v>64</v>
      </c>
      <c r="C24" s="110" t="s">
        <v>65</v>
      </c>
      <c r="D24" s="111"/>
      <c r="E24" s="111"/>
      <c r="F24" s="111"/>
      <c r="G24" s="111"/>
      <c r="H24" s="112"/>
      <c r="I24" s="56">
        <v>0.05</v>
      </c>
      <c r="J24" s="38">
        <f>(SUM(J20:J23)/100)*5</f>
        <v>59.4512</v>
      </c>
      <c r="K24" s="50">
        <f>J24*(VLOOKUP(OpdateretÅrstal,Prislistetillæg!$A$5:$C$61,3,FALSE)/VLOOKUP(Produktionsår,Prislistetillæg!$A$5:$C$61,3,FALSE))</f>
        <v>97.272467705801219</v>
      </c>
    </row>
    <row r="25" spans="1:11" ht="24.75" customHeight="1" x14ac:dyDescent="0.3">
      <c r="B25" s="26" t="s">
        <v>66</v>
      </c>
      <c r="C25" s="110" t="s">
        <v>67</v>
      </c>
      <c r="D25" s="111"/>
      <c r="E25" s="111"/>
      <c r="F25" s="111"/>
      <c r="G25" s="111"/>
      <c r="H25" s="112"/>
      <c r="I25" s="28">
        <v>5.76</v>
      </c>
      <c r="J25" s="38">
        <f>(2*I25)*8</f>
        <v>92.16</v>
      </c>
      <c r="K25" s="50">
        <f>J25*(VLOOKUP(OpdateretÅrstal,Prislistetillæg!$A$5:$C$61,3,FALSE)/VLOOKUP(Produktionsår,Prislistetillæg!$A$5:$C$61,3,FALSE))</f>
        <v>150.78973382819254</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SUM(J11:J18)</f>
        <v>11246.031999999999</v>
      </c>
      <c r="K27" s="48">
        <f>J27*(VLOOKUP(OpdateretÅrstal,Prislistetillæg!$A$5:$C$61,3,FALSE)/VLOOKUP(Produktionsår,Prislistetillæg!$A$5:$C$61,3,FALSE))</f>
        <v>18400.457594437237</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82.691411764705876</v>
      </c>
      <c r="K29" s="49">
        <f>J29*(VLOOKUP(OpdateretÅrstal,Prislistetillæg!$A$5:$C$61,3,FALSE)/VLOOKUP(Produktionsår,Prislistetillæg!$A$5:$C$61,3,FALSE))</f>
        <v>135.29748231203848</v>
      </c>
    </row>
    <row r="30" spans="1:11" ht="12.75" customHeight="1" x14ac:dyDescent="0.3"/>
    <row r="31" spans="1:11" ht="12.75" customHeight="1" x14ac:dyDescent="0.3"/>
    <row r="32" spans="1:11" ht="12.75" customHeight="1" x14ac:dyDescent="0.3">
      <c r="A32" t="s">
        <v>70</v>
      </c>
    </row>
    <row r="33" spans="1:4" x14ac:dyDescent="0.3">
      <c r="A33" t="s">
        <v>71</v>
      </c>
    </row>
    <row r="35" spans="1:4" x14ac:dyDescent="0.3">
      <c r="A35" t="s">
        <v>75</v>
      </c>
      <c r="D35" t="s">
        <v>84</v>
      </c>
    </row>
    <row r="36" spans="1:4" x14ac:dyDescent="0.3">
      <c r="D36" t="s">
        <v>85</v>
      </c>
    </row>
    <row r="37" spans="1:4" x14ac:dyDescent="0.3">
      <c r="D37" t="s">
        <v>86</v>
      </c>
    </row>
    <row r="39" spans="1:4" x14ac:dyDescent="0.3">
      <c r="A39" t="s">
        <v>79</v>
      </c>
      <c r="D39" t="s">
        <v>80</v>
      </c>
    </row>
    <row r="40" spans="1:4" x14ac:dyDescent="0.3">
      <c r="D40" t="s">
        <v>81</v>
      </c>
    </row>
    <row r="42" spans="1:4" x14ac:dyDescent="0.3">
      <c r="D42" t="s">
        <v>82</v>
      </c>
    </row>
    <row r="43" spans="1:4" x14ac:dyDescent="0.3">
      <c r="D43" t="s">
        <v>100</v>
      </c>
    </row>
  </sheetData>
  <mergeCells count="25">
    <mergeCell ref="C10:H10"/>
    <mergeCell ref="C19:H19"/>
    <mergeCell ref="A1:K1"/>
    <mergeCell ref="A6:B6"/>
    <mergeCell ref="D6:E6"/>
    <mergeCell ref="G6:I6"/>
    <mergeCell ref="C9:H9"/>
    <mergeCell ref="C22:H22"/>
    <mergeCell ref="C11:H11"/>
    <mergeCell ref="C12:H12"/>
    <mergeCell ref="C13:H13"/>
    <mergeCell ref="C14:H14"/>
    <mergeCell ref="C15:H15"/>
    <mergeCell ref="C16:H16"/>
    <mergeCell ref="C17:H17"/>
    <mergeCell ref="C18:H18"/>
    <mergeCell ref="C20:H20"/>
    <mergeCell ref="C21:H21"/>
    <mergeCell ref="C29:H29"/>
    <mergeCell ref="C23:H23"/>
    <mergeCell ref="C24:H24"/>
    <mergeCell ref="C25:H25"/>
    <mergeCell ref="C26:H26"/>
    <mergeCell ref="C27:H27"/>
    <mergeCell ref="C28:H28"/>
  </mergeCell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61"/>
  <dimension ref="A1:I61"/>
  <sheetViews>
    <sheetView workbookViewId="0">
      <selection activeCell="I9" sqref="I9"/>
    </sheetView>
  </sheetViews>
  <sheetFormatPr defaultRowHeight="13.5" x14ac:dyDescent="0.3"/>
  <cols>
    <col min="2" max="3" width="9.4609375" bestFit="1" customWidth="1"/>
    <col min="11" max="11" width="10.15234375" bestFit="1" customWidth="1"/>
  </cols>
  <sheetData>
    <row r="1" spans="1:9" x14ac:dyDescent="0.3">
      <c r="C1" s="131" t="s">
        <v>148</v>
      </c>
      <c r="D1" s="131"/>
      <c r="E1" s="131"/>
      <c r="F1" s="131"/>
      <c r="G1" s="131"/>
      <c r="H1" s="131"/>
      <c r="I1" s="131"/>
    </row>
    <row r="2" spans="1:9" x14ac:dyDescent="0.3">
      <c r="C2" s="131" t="s">
        <v>149</v>
      </c>
      <c r="D2" s="131"/>
      <c r="E2" s="131"/>
      <c r="F2" s="131"/>
      <c r="G2" s="131"/>
      <c r="H2" s="131"/>
      <c r="I2" s="131"/>
    </row>
    <row r="4" spans="1:9" ht="39" customHeight="1" x14ac:dyDescent="0.3">
      <c r="B4" s="42" t="str">
        <f>'[1]Prisliste tillæg'!$B$3</f>
        <v>Det aktuelle års tillæg</v>
      </c>
      <c r="C4" s="43" t="str">
        <f>'[1]Prisliste tillæg'!$C$3</f>
        <v>Samlet Prisliste tillæg</v>
      </c>
    </row>
    <row r="5" spans="1:9" x14ac:dyDescent="0.3">
      <c r="A5">
        <f>'[1]Prisliste tillæg'!$A4</f>
        <v>2014</v>
      </c>
      <c r="B5" s="45">
        <f>'[1]Prisliste tillæg'!$B4</f>
        <v>1</v>
      </c>
      <c r="C5" s="44">
        <f>'[1]Prisliste tillæg'!$C4</f>
        <v>1</v>
      </c>
    </row>
    <row r="6" spans="1:9" x14ac:dyDescent="0.3">
      <c r="A6">
        <f>'[1]Prisliste tillæg'!$A5</f>
        <v>2015</v>
      </c>
      <c r="B6" s="45">
        <f>'[1]Prisliste tillæg'!$B5</f>
        <v>1.014</v>
      </c>
      <c r="C6" s="44">
        <f>'[1]Prisliste tillæg'!$C5</f>
        <v>1.014</v>
      </c>
    </row>
    <row r="7" spans="1:9" x14ac:dyDescent="0.3">
      <c r="A7">
        <f>'[1]Prisliste tillæg'!$A6</f>
        <v>2016</v>
      </c>
      <c r="B7" s="45">
        <f>'[1]Prisliste tillæg'!$B6</f>
        <v>1.0189999999999999</v>
      </c>
      <c r="C7" s="44">
        <f>'[1]Prisliste tillæg'!$C6</f>
        <v>1.033266</v>
      </c>
    </row>
    <row r="8" spans="1:9" x14ac:dyDescent="0.3">
      <c r="A8">
        <f>'[1]Prisliste tillæg'!$A7</f>
        <v>2017</v>
      </c>
      <c r="B8" s="45">
        <f>'[1]Prisliste tillæg'!$B7</f>
        <v>1.018</v>
      </c>
      <c r="C8" s="44">
        <f>'[1]Prisliste tillæg'!$C7</f>
        <v>1.0518647880000001</v>
      </c>
    </row>
    <row r="9" spans="1:9" x14ac:dyDescent="0.3">
      <c r="A9">
        <f>'[1]Prisliste tillæg'!$A8</f>
        <v>2018</v>
      </c>
      <c r="B9" s="45">
        <f>'[1]Prisliste tillæg'!$B8</f>
        <v>1.0189999999999999</v>
      </c>
      <c r="C9" s="44">
        <f>'[1]Prisliste tillæg'!$C8</f>
        <v>1.0718502189720001</v>
      </c>
    </row>
    <row r="10" spans="1:9" x14ac:dyDescent="0.3">
      <c r="A10">
        <f>'[1]Prisliste tillæg'!$A9</f>
        <v>2019</v>
      </c>
      <c r="B10" s="45">
        <f>'[1]Prisliste tillæg'!$B9</f>
        <v>1.0209999999999999</v>
      </c>
      <c r="C10" s="44">
        <f>'[1]Prisliste tillæg'!$C9</f>
        <v>1.0943590735704121</v>
      </c>
    </row>
    <row r="11" spans="1:9" x14ac:dyDescent="0.3">
      <c r="A11">
        <f>'[1]Prisliste tillæg'!$A10</f>
        <v>2020</v>
      </c>
      <c r="B11" s="45">
        <f>'[1]Prisliste tillæg'!$B10</f>
        <v>1.0209999999999999</v>
      </c>
      <c r="C11" s="44">
        <f>'[1]Prisliste tillæg'!$C10</f>
        <v>1.1173406141153905</v>
      </c>
    </row>
    <row r="12" spans="1:9" x14ac:dyDescent="0.3">
      <c r="A12">
        <f>'[1]Prisliste tillæg'!$A11</f>
        <v>2021</v>
      </c>
      <c r="B12" s="45">
        <f>'[1]Prisliste tillæg'!$B11</f>
        <v>1.0209999999999999</v>
      </c>
      <c r="C12" s="44">
        <f>'[1]Prisliste tillæg'!$C11</f>
        <v>1.1408047670118135</v>
      </c>
    </row>
    <row r="13" spans="1:9" x14ac:dyDescent="0.3">
      <c r="A13">
        <f>'[1]Prisliste tillæg'!$A12</f>
        <v>2022</v>
      </c>
      <c r="B13" s="45">
        <f>'[1]Prisliste tillæg'!$B12</f>
        <v>1.0209999999999999</v>
      </c>
      <c r="C13" s="44">
        <f>'[1]Prisliste tillæg'!$C12</f>
        <v>1.1647616671190615</v>
      </c>
    </row>
    <row r="14" spans="1:9" x14ac:dyDescent="0.3">
      <c r="A14">
        <f>'[1]Prisliste tillæg'!$A13</f>
        <v>2023</v>
      </c>
      <c r="B14" s="45">
        <f>'[1]Prisliste tillæg'!$B13</f>
        <v>1.04</v>
      </c>
      <c r="C14" s="44">
        <f>'[1]Prisliste tillæg'!$C13</f>
        <v>1.211352133803824</v>
      </c>
    </row>
    <row r="15" spans="1:9" x14ac:dyDescent="0.3">
      <c r="A15">
        <f>'[1]Prisliste tillæg'!$A14</f>
        <v>2024</v>
      </c>
      <c r="B15" s="45">
        <f>'[1]Prisliste tillæg'!$B14</f>
        <v>1.0389999999999999</v>
      </c>
      <c r="C15" s="44">
        <f>'[1]Prisliste tillæg'!$C14</f>
        <v>1.2585948670221732</v>
      </c>
    </row>
    <row r="16" spans="1:9" x14ac:dyDescent="0.3">
      <c r="A16">
        <f>'[1]Prisliste tillæg'!$A15</f>
        <v>2025</v>
      </c>
      <c r="B16" s="45">
        <f>'[1]Prisliste tillæg'!$B15</f>
        <v>1.3</v>
      </c>
      <c r="C16" s="44">
        <f>'[1]Prisliste tillæg'!$C15</f>
        <v>1.6361733271288252</v>
      </c>
    </row>
    <row r="17" spans="1:3" x14ac:dyDescent="0.3">
      <c r="A17">
        <f>'[1]Prisliste tillæg'!$A16</f>
        <v>2026</v>
      </c>
      <c r="B17" s="45">
        <f>'[1]Prisliste tillæg'!$B16</f>
        <v>0</v>
      </c>
      <c r="C17" s="44">
        <f>'[1]Prisliste tillæg'!$C16</f>
        <v>0</v>
      </c>
    </row>
    <row r="18" spans="1:3" x14ac:dyDescent="0.3">
      <c r="A18">
        <f>'[1]Prisliste tillæg'!$A17</f>
        <v>2027</v>
      </c>
      <c r="B18" s="45">
        <f>'[1]Prisliste tillæg'!$B17</f>
        <v>0</v>
      </c>
      <c r="C18" s="44">
        <f>'[1]Prisliste tillæg'!$C17</f>
        <v>0</v>
      </c>
    </row>
    <row r="19" spans="1:3" x14ac:dyDescent="0.3">
      <c r="A19">
        <f>'[1]Prisliste tillæg'!$A18</f>
        <v>2028</v>
      </c>
      <c r="B19" s="45">
        <f>'[1]Prisliste tillæg'!$B18</f>
        <v>0</v>
      </c>
      <c r="C19" s="44">
        <f>'[1]Prisliste tillæg'!$C18</f>
        <v>0</v>
      </c>
    </row>
    <row r="20" spans="1:3" x14ac:dyDescent="0.3">
      <c r="A20">
        <f>'[1]Prisliste tillæg'!$A19</f>
        <v>2029</v>
      </c>
      <c r="B20" s="45">
        <f>'[1]Prisliste tillæg'!$B19</f>
        <v>0</v>
      </c>
      <c r="C20" s="44">
        <f>'[1]Prisliste tillæg'!$C19</f>
        <v>0</v>
      </c>
    </row>
    <row r="21" spans="1:3" x14ac:dyDescent="0.3">
      <c r="A21">
        <f>'[1]Prisliste tillæg'!$A20</f>
        <v>2030</v>
      </c>
      <c r="B21" s="45">
        <f>'[1]Prisliste tillæg'!$B20</f>
        <v>0</v>
      </c>
      <c r="C21" s="44">
        <f>'[1]Prisliste tillæg'!$C20</f>
        <v>0</v>
      </c>
    </row>
    <row r="22" spans="1:3" x14ac:dyDescent="0.3">
      <c r="A22">
        <f>'[1]Prisliste tillæg'!$A21</f>
        <v>2031</v>
      </c>
      <c r="B22" s="45">
        <f>'[1]Prisliste tillæg'!$B21</f>
        <v>0</v>
      </c>
      <c r="C22" s="44">
        <f>'[1]Prisliste tillæg'!$C21</f>
        <v>0</v>
      </c>
    </row>
    <row r="23" spans="1:3" x14ac:dyDescent="0.3">
      <c r="A23">
        <f>'[1]Prisliste tillæg'!$A22</f>
        <v>2032</v>
      </c>
      <c r="B23" s="45">
        <f>'[1]Prisliste tillæg'!$B22</f>
        <v>0</v>
      </c>
      <c r="C23" s="44">
        <f>'[1]Prisliste tillæg'!$C22</f>
        <v>0</v>
      </c>
    </row>
    <row r="24" spans="1:3" x14ac:dyDescent="0.3">
      <c r="A24">
        <f>'[1]Prisliste tillæg'!$A23</f>
        <v>2033</v>
      </c>
      <c r="B24" s="45">
        <f>'[1]Prisliste tillæg'!$B23</f>
        <v>0</v>
      </c>
      <c r="C24" s="44">
        <f>'[1]Prisliste tillæg'!$C23</f>
        <v>0</v>
      </c>
    </row>
    <row r="25" spans="1:3" x14ac:dyDescent="0.3">
      <c r="A25">
        <f>'[1]Prisliste tillæg'!$A24</f>
        <v>2034</v>
      </c>
      <c r="B25" s="45">
        <f>'[1]Prisliste tillæg'!$B24</f>
        <v>0</v>
      </c>
      <c r="C25" s="44">
        <f>'[1]Prisliste tillæg'!$C24</f>
        <v>0</v>
      </c>
    </row>
    <row r="26" spans="1:3" x14ac:dyDescent="0.3">
      <c r="A26">
        <f>'[1]Prisliste tillæg'!$A25</f>
        <v>2035</v>
      </c>
      <c r="B26" s="45">
        <f>'[1]Prisliste tillæg'!$B25</f>
        <v>0</v>
      </c>
      <c r="C26" s="44">
        <f>'[1]Prisliste tillæg'!$C25</f>
        <v>0</v>
      </c>
    </row>
    <row r="27" spans="1:3" x14ac:dyDescent="0.3">
      <c r="A27">
        <f>'[1]Prisliste tillæg'!$A26</f>
        <v>2036</v>
      </c>
      <c r="B27" s="45">
        <f>'[1]Prisliste tillæg'!$B26</f>
        <v>0</v>
      </c>
      <c r="C27" s="44">
        <f>'[1]Prisliste tillæg'!$C26</f>
        <v>0</v>
      </c>
    </row>
    <row r="28" spans="1:3" x14ac:dyDescent="0.3">
      <c r="A28">
        <f>'[1]Prisliste tillæg'!$A27</f>
        <v>2037</v>
      </c>
      <c r="B28" s="45">
        <f>'[1]Prisliste tillæg'!$B27</f>
        <v>0</v>
      </c>
      <c r="C28" s="44">
        <f>'[1]Prisliste tillæg'!$C27</f>
        <v>0</v>
      </c>
    </row>
    <row r="29" spans="1:3" x14ac:dyDescent="0.3">
      <c r="A29">
        <f>'[1]Prisliste tillæg'!$A28</f>
        <v>2038</v>
      </c>
      <c r="B29" s="45">
        <f>'[1]Prisliste tillæg'!$B28</f>
        <v>0</v>
      </c>
      <c r="C29" s="44">
        <f>'[1]Prisliste tillæg'!$C28</f>
        <v>0</v>
      </c>
    </row>
    <row r="30" spans="1:3" x14ac:dyDescent="0.3">
      <c r="A30">
        <f>'[1]Prisliste tillæg'!$A29</f>
        <v>2039</v>
      </c>
      <c r="B30" s="45">
        <f>'[1]Prisliste tillæg'!$B29</f>
        <v>0</v>
      </c>
      <c r="C30" s="44">
        <f>'[1]Prisliste tillæg'!$C29</f>
        <v>0</v>
      </c>
    </row>
    <row r="31" spans="1:3" x14ac:dyDescent="0.3">
      <c r="A31">
        <f>'[1]Prisliste tillæg'!$A30</f>
        <v>2040</v>
      </c>
      <c r="B31" s="45">
        <f>'[1]Prisliste tillæg'!$B30</f>
        <v>0</v>
      </c>
      <c r="C31" s="44">
        <f>'[1]Prisliste tillæg'!$C30</f>
        <v>0</v>
      </c>
    </row>
    <row r="32" spans="1:3" x14ac:dyDescent="0.3">
      <c r="A32">
        <f>'[1]Prisliste tillæg'!$A31</f>
        <v>2041</v>
      </c>
      <c r="B32" s="45">
        <f>'[1]Prisliste tillæg'!$B31</f>
        <v>0</v>
      </c>
      <c r="C32" s="44">
        <f>'[1]Prisliste tillæg'!$C31</f>
        <v>0</v>
      </c>
    </row>
    <row r="33" spans="1:3" x14ac:dyDescent="0.3">
      <c r="A33">
        <f>'[1]Prisliste tillæg'!$A32</f>
        <v>2042</v>
      </c>
      <c r="B33" s="45">
        <f>'[1]Prisliste tillæg'!$B32</f>
        <v>0</v>
      </c>
      <c r="C33" s="44">
        <f>'[1]Prisliste tillæg'!$C32</f>
        <v>0</v>
      </c>
    </row>
    <row r="34" spans="1:3" x14ac:dyDescent="0.3">
      <c r="A34">
        <f>'[1]Prisliste tillæg'!$A33</f>
        <v>2043</v>
      </c>
      <c r="B34" s="45">
        <f>'[1]Prisliste tillæg'!$B33</f>
        <v>0</v>
      </c>
      <c r="C34" s="44">
        <f>'[1]Prisliste tillæg'!$C33</f>
        <v>0</v>
      </c>
    </row>
    <row r="35" spans="1:3" x14ac:dyDescent="0.3">
      <c r="A35">
        <f>'[1]Prisliste tillæg'!$A34</f>
        <v>2044</v>
      </c>
      <c r="B35" s="45">
        <f>'[1]Prisliste tillæg'!$B34</f>
        <v>0</v>
      </c>
      <c r="C35" s="44">
        <f>'[1]Prisliste tillæg'!$C34</f>
        <v>0</v>
      </c>
    </row>
    <row r="36" spans="1:3" x14ac:dyDescent="0.3">
      <c r="A36">
        <f>'[1]Prisliste tillæg'!$A35</f>
        <v>2045</v>
      </c>
      <c r="B36" s="45">
        <f>'[1]Prisliste tillæg'!$B35</f>
        <v>0</v>
      </c>
      <c r="C36" s="44">
        <f>'[1]Prisliste tillæg'!$C35</f>
        <v>0</v>
      </c>
    </row>
    <row r="37" spans="1:3" x14ac:dyDescent="0.3">
      <c r="A37">
        <f>'[1]Prisliste tillæg'!$A36</f>
        <v>2046</v>
      </c>
      <c r="B37" s="45">
        <f>'[1]Prisliste tillæg'!$B36</f>
        <v>0</v>
      </c>
      <c r="C37" s="44">
        <f>'[1]Prisliste tillæg'!$C36</f>
        <v>0</v>
      </c>
    </row>
    <row r="38" spans="1:3" x14ac:dyDescent="0.3">
      <c r="A38">
        <f>'[1]Prisliste tillæg'!$A37</f>
        <v>2047</v>
      </c>
      <c r="B38" s="45">
        <f>'[1]Prisliste tillæg'!$B37</f>
        <v>0</v>
      </c>
      <c r="C38" s="44">
        <f>'[1]Prisliste tillæg'!$C37</f>
        <v>0</v>
      </c>
    </row>
    <row r="39" spans="1:3" x14ac:dyDescent="0.3">
      <c r="A39">
        <f>'[1]Prisliste tillæg'!$A38</f>
        <v>2048</v>
      </c>
      <c r="B39" s="45">
        <f>'[1]Prisliste tillæg'!$B38</f>
        <v>0</v>
      </c>
      <c r="C39" s="44">
        <f>'[1]Prisliste tillæg'!$C38</f>
        <v>0</v>
      </c>
    </row>
    <row r="40" spans="1:3" x14ac:dyDescent="0.3">
      <c r="A40">
        <f>'[1]Prisliste tillæg'!$A39</f>
        <v>2049</v>
      </c>
      <c r="B40" s="45">
        <f>'[1]Prisliste tillæg'!$B39</f>
        <v>0</v>
      </c>
      <c r="C40" s="44">
        <f>'[1]Prisliste tillæg'!$C39</f>
        <v>0</v>
      </c>
    </row>
    <row r="41" spans="1:3" x14ac:dyDescent="0.3">
      <c r="A41">
        <f>'[1]Prisliste tillæg'!$A40</f>
        <v>2050</v>
      </c>
      <c r="B41" s="45">
        <f>'[1]Prisliste tillæg'!$B40</f>
        <v>0</v>
      </c>
      <c r="C41" s="44">
        <f>'[1]Prisliste tillæg'!$C40</f>
        <v>0</v>
      </c>
    </row>
    <row r="42" spans="1:3" x14ac:dyDescent="0.3">
      <c r="A42">
        <f>'[1]Prisliste tillæg'!$A41</f>
        <v>2051</v>
      </c>
      <c r="B42" s="45">
        <f>'[1]Prisliste tillæg'!$B41</f>
        <v>0</v>
      </c>
      <c r="C42" s="44">
        <f>'[1]Prisliste tillæg'!$C41</f>
        <v>0</v>
      </c>
    </row>
    <row r="43" spans="1:3" x14ac:dyDescent="0.3">
      <c r="A43">
        <f>'[1]Prisliste tillæg'!$A42</f>
        <v>2052</v>
      </c>
      <c r="B43" s="45">
        <f>'[1]Prisliste tillæg'!$B42</f>
        <v>0</v>
      </c>
      <c r="C43" s="44">
        <f>'[1]Prisliste tillæg'!$C42</f>
        <v>0</v>
      </c>
    </row>
    <row r="44" spans="1:3" x14ac:dyDescent="0.3">
      <c r="A44">
        <f>'[1]Prisliste tillæg'!$A43</f>
        <v>2053</v>
      </c>
      <c r="B44" s="45">
        <f>'[1]Prisliste tillæg'!$B43</f>
        <v>0</v>
      </c>
      <c r="C44" s="44">
        <f>'[1]Prisliste tillæg'!$C43</f>
        <v>0</v>
      </c>
    </row>
    <row r="45" spans="1:3" x14ac:dyDescent="0.3">
      <c r="A45">
        <f>'[1]Prisliste tillæg'!$A44</f>
        <v>2054</v>
      </c>
      <c r="B45" s="45">
        <f>'[1]Prisliste tillæg'!$B44</f>
        <v>0</v>
      </c>
      <c r="C45" s="44">
        <f>'[1]Prisliste tillæg'!$C44</f>
        <v>0</v>
      </c>
    </row>
    <row r="46" spans="1:3" x14ac:dyDescent="0.3">
      <c r="A46">
        <f>'[1]Prisliste tillæg'!$A45</f>
        <v>2055</v>
      </c>
      <c r="B46" s="45">
        <f>'[1]Prisliste tillæg'!$B45</f>
        <v>0</v>
      </c>
      <c r="C46" s="44">
        <f>'[1]Prisliste tillæg'!$C45</f>
        <v>0</v>
      </c>
    </row>
    <row r="47" spans="1:3" x14ac:dyDescent="0.3">
      <c r="A47">
        <f>'[1]Prisliste tillæg'!$A46</f>
        <v>2056</v>
      </c>
      <c r="B47" s="45">
        <f>'[1]Prisliste tillæg'!$B46</f>
        <v>0</v>
      </c>
      <c r="C47" s="44">
        <f>'[1]Prisliste tillæg'!$C46</f>
        <v>0</v>
      </c>
    </row>
    <row r="48" spans="1:3" x14ac:dyDescent="0.3">
      <c r="A48">
        <f>'[1]Prisliste tillæg'!$A47</f>
        <v>2057</v>
      </c>
      <c r="B48" s="45">
        <f>'[1]Prisliste tillæg'!$B47</f>
        <v>0</v>
      </c>
      <c r="C48" s="44">
        <f>'[1]Prisliste tillæg'!$C47</f>
        <v>0</v>
      </c>
    </row>
    <row r="49" spans="1:3" x14ac:dyDescent="0.3">
      <c r="A49">
        <f>'[1]Prisliste tillæg'!$A48</f>
        <v>2058</v>
      </c>
      <c r="B49" s="45">
        <f>'[1]Prisliste tillæg'!$B48</f>
        <v>0</v>
      </c>
      <c r="C49" s="44">
        <f>'[1]Prisliste tillæg'!$C48</f>
        <v>0</v>
      </c>
    </row>
    <row r="50" spans="1:3" x14ac:dyDescent="0.3">
      <c r="A50">
        <f>'[1]Prisliste tillæg'!$A49</f>
        <v>2059</v>
      </c>
      <c r="B50" s="45">
        <f>'[1]Prisliste tillæg'!$B49</f>
        <v>0</v>
      </c>
      <c r="C50" s="44">
        <f>'[1]Prisliste tillæg'!$C49</f>
        <v>0</v>
      </c>
    </row>
    <row r="51" spans="1:3" x14ac:dyDescent="0.3">
      <c r="A51">
        <f>'[1]Prisliste tillæg'!$A50</f>
        <v>2060</v>
      </c>
      <c r="B51" s="45">
        <f>'[1]Prisliste tillæg'!$B50</f>
        <v>0</v>
      </c>
      <c r="C51" s="44">
        <f>'[1]Prisliste tillæg'!$C50</f>
        <v>0</v>
      </c>
    </row>
    <row r="52" spans="1:3" x14ac:dyDescent="0.3">
      <c r="A52">
        <f>'[1]Prisliste tillæg'!$A51</f>
        <v>2061</v>
      </c>
      <c r="B52" s="45">
        <f>'[1]Prisliste tillæg'!$B51</f>
        <v>0</v>
      </c>
      <c r="C52" s="44">
        <f>'[1]Prisliste tillæg'!$C51</f>
        <v>0</v>
      </c>
    </row>
    <row r="53" spans="1:3" x14ac:dyDescent="0.3">
      <c r="A53">
        <f>'[1]Prisliste tillæg'!$A52</f>
        <v>2062</v>
      </c>
      <c r="B53" s="45">
        <f>'[1]Prisliste tillæg'!$B52</f>
        <v>0</v>
      </c>
      <c r="C53" s="44">
        <f>'[1]Prisliste tillæg'!$C52</f>
        <v>0</v>
      </c>
    </row>
    <row r="54" spans="1:3" x14ac:dyDescent="0.3">
      <c r="A54">
        <f>'[1]Prisliste tillæg'!$A53</f>
        <v>2063</v>
      </c>
      <c r="B54" s="45">
        <f>'[1]Prisliste tillæg'!$B53</f>
        <v>0</v>
      </c>
      <c r="C54" s="44">
        <f>'[1]Prisliste tillæg'!$C53</f>
        <v>0</v>
      </c>
    </row>
    <row r="55" spans="1:3" x14ac:dyDescent="0.3">
      <c r="A55">
        <f>'[1]Prisliste tillæg'!$A54</f>
        <v>2064</v>
      </c>
      <c r="B55" s="45">
        <f>'[1]Prisliste tillæg'!$B54</f>
        <v>0</v>
      </c>
      <c r="C55" s="44">
        <f>'[1]Prisliste tillæg'!$C54</f>
        <v>0</v>
      </c>
    </row>
    <row r="56" spans="1:3" x14ac:dyDescent="0.3">
      <c r="A56">
        <f>'[1]Prisliste tillæg'!$A55</f>
        <v>2065</v>
      </c>
      <c r="B56" s="45">
        <f>'[1]Prisliste tillæg'!$B55</f>
        <v>0</v>
      </c>
      <c r="C56" s="44">
        <f>'[1]Prisliste tillæg'!$C55</f>
        <v>0</v>
      </c>
    </row>
    <row r="57" spans="1:3" x14ac:dyDescent="0.3">
      <c r="A57">
        <f>'[1]Prisliste tillæg'!$A56</f>
        <v>2066</v>
      </c>
      <c r="B57" s="45">
        <f>'[1]Prisliste tillæg'!$B56</f>
        <v>0</v>
      </c>
      <c r="C57" s="44">
        <f>'[1]Prisliste tillæg'!$C56</f>
        <v>0</v>
      </c>
    </row>
    <row r="58" spans="1:3" x14ac:dyDescent="0.3">
      <c r="A58">
        <f>'[1]Prisliste tillæg'!$A57</f>
        <v>2067</v>
      </c>
      <c r="B58" s="45">
        <f>'[1]Prisliste tillæg'!$B57</f>
        <v>0</v>
      </c>
      <c r="C58" s="44">
        <f>'[1]Prisliste tillæg'!$C57</f>
        <v>0</v>
      </c>
    </row>
    <row r="59" spans="1:3" x14ac:dyDescent="0.3">
      <c r="A59">
        <f>'[1]Prisliste tillæg'!$A58</f>
        <v>2068</v>
      </c>
      <c r="B59" s="45">
        <f>'[1]Prisliste tillæg'!$B58</f>
        <v>0</v>
      </c>
      <c r="C59" s="44">
        <f>'[1]Prisliste tillæg'!$C58</f>
        <v>0</v>
      </c>
    </row>
    <row r="60" spans="1:3" x14ac:dyDescent="0.3">
      <c r="A60">
        <f>'[1]Prisliste tillæg'!$A59</f>
        <v>2069</v>
      </c>
      <c r="B60" s="45">
        <f>'[1]Prisliste tillæg'!$B59</f>
        <v>0</v>
      </c>
      <c r="C60" s="44">
        <f>'[1]Prisliste tillæg'!$C59</f>
        <v>0</v>
      </c>
    </row>
    <row r="61" spans="1:3" x14ac:dyDescent="0.3">
      <c r="A61">
        <f>'[1]Prisliste tillæg'!$A60</f>
        <v>2070</v>
      </c>
      <c r="B61" s="45">
        <f>'[1]Prisliste tillæg'!$B60</f>
        <v>0</v>
      </c>
      <c r="C61" s="44">
        <f>'[1]Prisliste tillæg'!$C60</f>
        <v>0</v>
      </c>
    </row>
  </sheetData>
  <mergeCells count="2">
    <mergeCell ref="C1:I1"/>
    <mergeCell ref="C2:I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FF000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98" t="s">
        <v>88</v>
      </c>
      <c r="B1" s="99"/>
      <c r="C1" s="99"/>
      <c r="D1" s="99"/>
      <c r="E1" s="99"/>
      <c r="F1" s="99"/>
      <c r="G1" s="99"/>
      <c r="H1" s="99"/>
      <c r="I1" s="99"/>
      <c r="J1" s="99"/>
      <c r="K1" s="100"/>
    </row>
    <row r="3" spans="1:11" x14ac:dyDescent="0.3">
      <c r="A3" t="s">
        <v>29</v>
      </c>
      <c r="D3" s="36">
        <v>2014</v>
      </c>
      <c r="E3" t="s">
        <v>30</v>
      </c>
    </row>
    <row r="6" spans="1:11" x14ac:dyDescent="0.3">
      <c r="A6" s="102" t="s">
        <v>31</v>
      </c>
      <c r="B6" s="103"/>
      <c r="C6" s="34">
        <v>5</v>
      </c>
      <c r="D6" s="102" t="s">
        <v>32</v>
      </c>
      <c r="E6" s="103"/>
      <c r="F6" s="34">
        <v>2.4</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405.84000000000003</v>
      </c>
      <c r="K11" s="50">
        <f>J11*(VLOOKUP(OpdateretÅrstal,Prislistetillæg!$A$5:$C$61,3,FALSE)/VLOOKUP(Produktionsår,Prislistetillæg!$A$5:$C$61,3,FALSE))</f>
        <v>664.02458308196253</v>
      </c>
    </row>
    <row r="12" spans="1:11" ht="24.75" customHeight="1" x14ac:dyDescent="0.3">
      <c r="B12" s="26" t="s">
        <v>42</v>
      </c>
      <c r="C12" s="101" t="s">
        <v>43</v>
      </c>
      <c r="D12" s="101"/>
      <c r="E12" s="101"/>
      <c r="F12" s="101"/>
      <c r="G12" s="101"/>
      <c r="H12" s="101"/>
      <c r="I12" s="28">
        <v>7.33</v>
      </c>
      <c r="J12" s="38">
        <f>($C$6*$F$6)*I12</f>
        <v>87.960000000000008</v>
      </c>
      <c r="K12" s="50">
        <f>J12*(VLOOKUP(OpdateretÅrstal,Prislistetillæg!$A$5:$C$61,3,FALSE)/VLOOKUP(Produktionsår,Prislistetillæg!$A$5:$C$61,3,FALSE))</f>
        <v>143.91780585425147</v>
      </c>
    </row>
    <row r="13" spans="1:11" x14ac:dyDescent="0.3">
      <c r="B13" s="26" t="s">
        <v>44</v>
      </c>
      <c r="C13" s="101" t="s">
        <v>45</v>
      </c>
      <c r="D13" s="101"/>
      <c r="E13" s="101"/>
      <c r="F13" s="101"/>
      <c r="G13" s="101"/>
      <c r="H13" s="101"/>
      <c r="I13" s="28">
        <v>18.29</v>
      </c>
      <c r="J13" s="39">
        <f>($C$6*$F$6)*2*I13</f>
        <v>438.96</v>
      </c>
      <c r="K13" s="50">
        <f>J13*(VLOOKUP(OpdateretÅrstal,Prislistetillæg!$A$5:$C$61,3,FALSE)/VLOOKUP(Produktionsår,Prislistetillæg!$A$5:$C$61,3,FALSE))</f>
        <v>718.21464367646911</v>
      </c>
    </row>
    <row r="14" spans="1:11" ht="26.25" customHeight="1" x14ac:dyDescent="0.3">
      <c r="B14" s="26" t="s">
        <v>46</v>
      </c>
      <c r="C14" s="101" t="s">
        <v>47</v>
      </c>
      <c r="D14" s="101"/>
      <c r="E14" s="101"/>
      <c r="F14" s="101"/>
      <c r="G14" s="101"/>
      <c r="H14" s="101"/>
      <c r="I14" s="28">
        <v>9.36</v>
      </c>
      <c r="J14" s="39">
        <f>($C$6*$F$6)*2*I14</f>
        <v>224.64</v>
      </c>
      <c r="K14" s="50">
        <f>J14*(VLOOKUP(OpdateretÅrstal,Prislistetillæg!$A$5:$C$61,3,FALSE)/VLOOKUP(Produktionsår,Prislistetillæg!$A$5:$C$61,3,FALSE))</f>
        <v>367.5499762062193</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c r="K17" s="50">
        <f>J17*(VLOOKUP(OpdateretÅrstal,Prislistetillæg!$A$5:$C$61,3,FALSE)/VLOOKUP(Produktionsår,Prislistetillæg!$A$5:$C$61,3,FALSE))</f>
        <v>0</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115.736</v>
      </c>
      <c r="K19" s="50">
        <f>J19*(VLOOKUP(OpdateretÅrstal,Prislistetillæg!$A$5:$C$61,3,FALSE)/VLOOKUP(Produktionsår,Prislistetillæg!$A$5:$C$61,3,FALSE))</f>
        <v>189.36415618858172</v>
      </c>
    </row>
    <row r="20" spans="1:11" ht="12.75" customHeight="1" x14ac:dyDescent="0.3">
      <c r="B20" s="26" t="s">
        <v>56</v>
      </c>
      <c r="C20" s="97" t="s">
        <v>57</v>
      </c>
      <c r="D20" s="97"/>
      <c r="E20" s="97"/>
      <c r="F20" s="97"/>
      <c r="G20" s="97"/>
      <c r="H20" s="97"/>
      <c r="I20" s="28"/>
      <c r="K20" s="50">
        <f>J20*(VLOOKUP(OpdateretÅrstal,Prislistetillæg!$A$5:$C$61,3,FALSE)/VLOOKUP(Produktionsår,Prislistetillæg!$A$5:$C$61,3,FALSE))</f>
        <v>0</v>
      </c>
    </row>
    <row r="21" spans="1:11" ht="12.75" customHeight="1" x14ac:dyDescent="0.3">
      <c r="B21" s="26" t="s">
        <v>58</v>
      </c>
      <c r="C21" s="97" t="s">
        <v>59</v>
      </c>
      <c r="D21" s="97"/>
      <c r="E21" s="97"/>
      <c r="F21" s="97"/>
      <c r="G21" s="97"/>
      <c r="H21" s="97"/>
      <c r="I21" s="28"/>
      <c r="J21" s="31"/>
      <c r="K21" s="50">
        <f>J21*(VLOOKUP(OpdateretÅrstal,Prislistetillæg!$A$5:$C$61,3,FALSE)/VLOOKUP(Produktionsår,Prislistetillæg!$A$5:$C$61,3,FALSE))</f>
        <v>0</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110"/>
      <c r="D26" s="111"/>
      <c r="E26" s="111"/>
      <c r="F26" s="111"/>
      <c r="G26" s="111"/>
      <c r="H26" s="112"/>
      <c r="I26" s="27"/>
      <c r="J26" s="40"/>
      <c r="K26" s="47"/>
    </row>
    <row r="27" spans="1:11" ht="12.75" customHeight="1" x14ac:dyDescent="0.3">
      <c r="B27" s="26"/>
      <c r="C27" s="110" t="s">
        <v>68</v>
      </c>
      <c r="D27" s="111"/>
      <c r="E27" s="111"/>
      <c r="F27" s="111"/>
      <c r="G27" s="111"/>
      <c r="H27" s="112"/>
      <c r="I27" s="28"/>
      <c r="J27" s="38">
        <f>SUM(J11:J19)</f>
        <v>1382.0960000000002</v>
      </c>
      <c r="K27" s="48">
        <f>J27*(VLOOKUP(OpdateretÅrstal,Prislistetillæg!$A$5:$C$61,3,FALSE)/VLOOKUP(Produktionsår,Prislistetillæg!$A$5:$C$61,3,FALSE))</f>
        <v>2261.3486107314411</v>
      </c>
    </row>
    <row r="28" spans="1:11" ht="12.75" customHeight="1" x14ac:dyDescent="0.3">
      <c r="B28" s="26"/>
      <c r="C28" s="113"/>
      <c r="D28" s="114"/>
      <c r="E28" s="114"/>
      <c r="F28" s="114"/>
      <c r="G28" s="114"/>
      <c r="H28" s="115"/>
      <c r="I28" s="28"/>
      <c r="K28" s="47"/>
    </row>
    <row r="29" spans="1:11" ht="12.75" customHeight="1" thickBot="1" x14ac:dyDescent="0.35">
      <c r="B29" s="32"/>
      <c r="C29" s="116" t="s">
        <v>69</v>
      </c>
      <c r="D29" s="117"/>
      <c r="E29" s="117"/>
      <c r="F29" s="117"/>
      <c r="G29" s="117"/>
      <c r="H29" s="118"/>
      <c r="I29" s="33"/>
      <c r="J29" s="41">
        <f>J27/(C6*F6)</f>
        <v>115.17466666666668</v>
      </c>
      <c r="K29" s="49">
        <f>J29*(VLOOKUP(OpdateretÅrstal,Prislistetillæg!$A$5:$C$61,3,FALSE)/VLOOKUP(Produktionsår,Prislistetillæg!$A$5:$C$61,3,FALSE))</f>
        <v>188.44571756095343</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16:H16"/>
    <mergeCell ref="A1:K1"/>
    <mergeCell ref="A6:B6"/>
    <mergeCell ref="D6:E6"/>
    <mergeCell ref="G6:I6"/>
    <mergeCell ref="C10:H10"/>
    <mergeCell ref="C11:H11"/>
    <mergeCell ref="C12:H12"/>
    <mergeCell ref="C13:H13"/>
    <mergeCell ref="C14:H14"/>
    <mergeCell ref="C15:H15"/>
    <mergeCell ref="C9:H9"/>
    <mergeCell ref="C27:H27"/>
    <mergeCell ref="C28:H28"/>
    <mergeCell ref="C29:H29"/>
    <mergeCell ref="C17:H17"/>
    <mergeCell ref="C18:H18"/>
    <mergeCell ref="C19:H19"/>
    <mergeCell ref="C20:H20"/>
    <mergeCell ref="C21:H21"/>
    <mergeCell ref="C26:H26"/>
    <mergeCell ref="C22:H22"/>
    <mergeCell ref="C23:H23"/>
    <mergeCell ref="C24:H24"/>
    <mergeCell ref="C25:H2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FF0000"/>
  </sheetPr>
  <dimension ref="A1:K33"/>
  <sheetViews>
    <sheetView workbookViewId="0">
      <selection activeCell="N17" sqref="N17"/>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98" t="s">
        <v>89</v>
      </c>
      <c r="B1" s="99"/>
      <c r="C1" s="99"/>
      <c r="D1" s="99"/>
      <c r="E1" s="99"/>
      <c r="F1" s="99"/>
      <c r="G1" s="99"/>
      <c r="H1" s="99"/>
      <c r="I1" s="99"/>
      <c r="J1" s="99"/>
      <c r="K1" s="100"/>
    </row>
    <row r="3" spans="1:11" x14ac:dyDescent="0.3">
      <c r="A3" t="s">
        <v>29</v>
      </c>
      <c r="D3" s="36">
        <v>2014</v>
      </c>
      <c r="E3" t="s">
        <v>30</v>
      </c>
    </row>
    <row r="6" spans="1:11" x14ac:dyDescent="0.3">
      <c r="A6" s="102" t="s">
        <v>31</v>
      </c>
      <c r="B6" s="103"/>
      <c r="C6" s="34">
        <v>5</v>
      </c>
      <c r="D6" s="102" t="s">
        <v>32</v>
      </c>
      <c r="E6" s="103"/>
      <c r="F6" s="34">
        <v>2.8</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473.48</v>
      </c>
      <c r="K11" s="50">
        <f>J11*(VLOOKUP(OpdateretÅrstal,Prislistetillæg!$A$5:$C$61,3,FALSE)/VLOOKUP(Produktionsår,Prislistetillæg!$A$5:$C$61,3,FALSE))</f>
        <v>774.69534692895616</v>
      </c>
    </row>
    <row r="12" spans="1:11" ht="24.75" customHeight="1" x14ac:dyDescent="0.3">
      <c r="B12" s="26" t="s">
        <v>42</v>
      </c>
      <c r="C12" s="101" t="s">
        <v>43</v>
      </c>
      <c r="D12" s="101"/>
      <c r="E12" s="101"/>
      <c r="F12" s="101"/>
      <c r="G12" s="101"/>
      <c r="H12" s="101"/>
      <c r="I12" s="28">
        <v>7.33</v>
      </c>
      <c r="J12" s="38">
        <f>($C$6*$F$6)*I12</f>
        <v>102.62</v>
      </c>
      <c r="K12" s="50">
        <f>J12*(VLOOKUP(OpdateretÅrstal,Prislistetillæg!$A$5:$C$61,3,FALSE)/VLOOKUP(Produktionsår,Prislistetillæg!$A$5:$C$61,3,FALSE))</f>
        <v>167.90410682996006</v>
      </c>
    </row>
    <row r="13" spans="1:11" x14ac:dyDescent="0.3">
      <c r="B13" s="26" t="s">
        <v>44</v>
      </c>
      <c r="C13" s="101" t="s">
        <v>45</v>
      </c>
      <c r="D13" s="101"/>
      <c r="E13" s="101"/>
      <c r="F13" s="101"/>
      <c r="G13" s="101"/>
      <c r="H13" s="101"/>
      <c r="I13" s="28">
        <v>18.29</v>
      </c>
      <c r="J13" s="39">
        <f>($C$6*$F$6)*2*I13</f>
        <v>512.12</v>
      </c>
      <c r="K13" s="50">
        <f>J13*(VLOOKUP(OpdateretÅrstal,Prislistetillæg!$A$5:$C$61,3,FALSE)/VLOOKUP(Produktionsår,Prislistetillæg!$A$5:$C$61,3,FALSE))</f>
        <v>837.91708428921402</v>
      </c>
    </row>
    <row r="14" spans="1:11" ht="26.25" customHeight="1" x14ac:dyDescent="0.3">
      <c r="B14" s="26" t="s">
        <v>46</v>
      </c>
      <c r="C14" s="101" t="s">
        <v>47</v>
      </c>
      <c r="D14" s="101"/>
      <c r="E14" s="101"/>
      <c r="F14" s="101"/>
      <c r="G14" s="101"/>
      <c r="H14" s="101"/>
      <c r="I14" s="28">
        <v>9.36</v>
      </c>
      <c r="J14" s="39">
        <f>($C$6*$F$6)*2*I14</f>
        <v>262.08</v>
      </c>
      <c r="K14" s="50">
        <f>J14*(VLOOKUP(OpdateretÅrstal,Prislistetillæg!$A$5:$C$61,3,FALSE)/VLOOKUP(Produktionsår,Prislistetillæg!$A$5:$C$61,3,FALSE))</f>
        <v>428.8083055739225</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6.25" customHeight="1" x14ac:dyDescent="0.3">
      <c r="B17" s="26" t="s">
        <v>52</v>
      </c>
      <c r="C17" s="101" t="s">
        <v>53</v>
      </c>
      <c r="D17" s="101"/>
      <c r="E17" s="101"/>
      <c r="F17" s="101"/>
      <c r="G17" s="101"/>
      <c r="H17" s="101"/>
      <c r="I17" s="28">
        <v>2.87</v>
      </c>
      <c r="J17" s="38">
        <f>2*C6*I17</f>
        <v>28.700000000000003</v>
      </c>
      <c r="K17" s="50">
        <f>J17*(VLOOKUP(OpdateretÅrstal,Prislistetillæg!$A$5:$C$61,3,FALSE)/VLOOKUP(Produktionsår,Prislistetillæg!$A$5:$C$61,3,FALSE))</f>
        <v>46.958174488597287</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7" customHeight="1" x14ac:dyDescent="0.3">
      <c r="B19" s="26" t="s">
        <v>54</v>
      </c>
      <c r="C19" s="97" t="s">
        <v>55</v>
      </c>
      <c r="D19" s="97"/>
      <c r="E19" s="97"/>
      <c r="F19" s="97"/>
      <c r="G19" s="97"/>
      <c r="H19" s="97"/>
      <c r="I19" s="28">
        <v>3.91</v>
      </c>
      <c r="J19" s="52">
        <f>2*(2*(C6+F6))*I19</f>
        <v>121.992</v>
      </c>
      <c r="K19" s="50">
        <f>J19*(VLOOKUP(OpdateretÅrstal,Prislistetillæg!$A$5:$C$61,3,FALSE)/VLOOKUP(Produktionsår,Prislistetillæg!$A$5:$C$61,3,FALSE))</f>
        <v>199.60005652309965</v>
      </c>
    </row>
    <row r="20" spans="1:11" ht="12.75" customHeight="1" x14ac:dyDescent="0.3">
      <c r="B20" s="26" t="s">
        <v>56</v>
      </c>
      <c r="C20" s="97" t="s">
        <v>57</v>
      </c>
      <c r="D20" s="97"/>
      <c r="E20" s="97"/>
      <c r="F20" s="97"/>
      <c r="G20" s="97"/>
      <c r="H20" s="97"/>
      <c r="I20" s="28">
        <v>1.93</v>
      </c>
      <c r="J20" s="51">
        <f>C6*I20</f>
        <v>9.65</v>
      </c>
      <c r="K20" s="50">
        <f>J20*(VLOOKUP(OpdateretÅrstal,Prislistetillæg!$A$5:$C$61,3,FALSE)/VLOOKUP(Produktionsår,Prislistetillæg!$A$5:$C$61,3,FALSE))</f>
        <v>15.789072606793164</v>
      </c>
    </row>
    <row r="21" spans="1:11" ht="12.75" customHeight="1" x14ac:dyDescent="0.3">
      <c r="B21" s="26" t="s">
        <v>58</v>
      </c>
      <c r="C21" s="97" t="s">
        <v>59</v>
      </c>
      <c r="D21" s="97"/>
      <c r="E21" s="97"/>
      <c r="F21" s="97"/>
      <c r="G21" s="97"/>
      <c r="H21" s="97"/>
      <c r="I21" s="28">
        <v>3.87</v>
      </c>
      <c r="J21" s="31">
        <f>C6*2*I21</f>
        <v>38.700000000000003</v>
      </c>
      <c r="K21" s="50">
        <f>J21*(VLOOKUP(OpdateretÅrstal,Prislistetillæg!$A$5:$C$61,3,FALSE)/VLOOKUP(Produktionsår,Prislistetillæg!$A$5:$C$61,3,FALSE))</f>
        <v>63.319907759885538</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ht="12.75" customHeight="1" x14ac:dyDescent="0.3">
      <c r="B26" s="26"/>
      <c r="C26" s="97"/>
      <c r="D26" s="97"/>
      <c r="E26" s="97"/>
      <c r="F26" s="97"/>
      <c r="G26" s="97"/>
      <c r="H26" s="97"/>
      <c r="I26" s="27"/>
      <c r="J26" s="40"/>
      <c r="K26" s="47"/>
    </row>
    <row r="27" spans="1:11" ht="12.75" customHeight="1" x14ac:dyDescent="0.3">
      <c r="B27" s="26"/>
      <c r="C27" s="97" t="s">
        <v>68</v>
      </c>
      <c r="D27" s="97"/>
      <c r="E27" s="97"/>
      <c r="F27" s="97"/>
      <c r="G27" s="97"/>
      <c r="H27" s="97"/>
      <c r="I27" s="28"/>
      <c r="J27" s="38">
        <f>SUM(J11:J19)</f>
        <v>1609.952</v>
      </c>
      <c r="K27" s="48">
        <f>J27*(VLOOKUP(OpdateretÅrstal,Prislistetillæg!$A$5:$C$61,3,FALSE)/VLOOKUP(Produktionsår,Prislistetillæg!$A$5:$C$61,3,FALSE))</f>
        <v>2634.1605203577064</v>
      </c>
    </row>
    <row r="28" spans="1:11" ht="12.75" customHeight="1" x14ac:dyDescent="0.3">
      <c r="B28" s="26"/>
      <c r="C28" s="113"/>
      <c r="D28" s="114"/>
      <c r="E28" s="114"/>
      <c r="F28" s="114"/>
      <c r="G28" s="114"/>
      <c r="H28" s="115"/>
      <c r="I28" s="28"/>
      <c r="K28" s="47"/>
    </row>
    <row r="29" spans="1:11" ht="12.75" customHeight="1" thickBot="1" x14ac:dyDescent="0.35">
      <c r="B29" s="32"/>
      <c r="C29" s="107" t="s">
        <v>69</v>
      </c>
      <c r="D29" s="107"/>
      <c r="E29" s="107"/>
      <c r="F29" s="107"/>
      <c r="G29" s="107"/>
      <c r="H29" s="107"/>
      <c r="I29" s="33"/>
      <c r="J29" s="41">
        <f>J27/(C6*F6)</f>
        <v>114.99657142857143</v>
      </c>
      <c r="K29" s="49">
        <f>J29*(VLOOKUP(OpdateretÅrstal,Prislistetillæg!$A$5:$C$61,3,FALSE)/VLOOKUP(Produktionsår,Prislistetillæg!$A$5:$C$61,3,FALSE))</f>
        <v>188.15432288269332</v>
      </c>
    </row>
    <row r="30" spans="1:11" ht="12.75" customHeight="1" x14ac:dyDescent="0.3"/>
    <row r="31" spans="1:11" ht="12.75" customHeight="1" x14ac:dyDescent="0.3"/>
    <row r="32" spans="1:11" ht="12.75" customHeight="1" x14ac:dyDescent="0.3">
      <c r="A32" t="s">
        <v>70</v>
      </c>
    </row>
    <row r="33" spans="1:1" x14ac:dyDescent="0.3">
      <c r="A33" t="s">
        <v>71</v>
      </c>
    </row>
  </sheetData>
  <mergeCells count="25">
    <mergeCell ref="C16:H16"/>
    <mergeCell ref="A1:K1"/>
    <mergeCell ref="A6:B6"/>
    <mergeCell ref="D6:E6"/>
    <mergeCell ref="G6:I6"/>
    <mergeCell ref="C10:H10"/>
    <mergeCell ref="C11:H11"/>
    <mergeCell ref="C12:H12"/>
    <mergeCell ref="C13:H13"/>
    <mergeCell ref="C14:H14"/>
    <mergeCell ref="C15:H15"/>
    <mergeCell ref="C9:H9"/>
    <mergeCell ref="C27:H27"/>
    <mergeCell ref="C28:H28"/>
    <mergeCell ref="C29:H29"/>
    <mergeCell ref="C17:H17"/>
    <mergeCell ref="C18:H18"/>
    <mergeCell ref="C19:H19"/>
    <mergeCell ref="C20:H20"/>
    <mergeCell ref="C21:H21"/>
    <mergeCell ref="C26:H26"/>
    <mergeCell ref="C22:H22"/>
    <mergeCell ref="C23:H23"/>
    <mergeCell ref="C24:H24"/>
    <mergeCell ref="C25:H2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FF0000"/>
  </sheetPr>
  <dimension ref="A1:K33"/>
  <sheetViews>
    <sheetView workbookViewId="0">
      <selection activeCell="N17" sqref="N17"/>
    </sheetView>
  </sheetViews>
  <sheetFormatPr defaultRowHeight="13.5" x14ac:dyDescent="0.3"/>
  <cols>
    <col min="9" max="9" width="9.4609375" bestFit="1" customWidth="1"/>
    <col min="10" max="11" width="12.15234375" bestFit="1" customWidth="1"/>
  </cols>
  <sheetData>
    <row r="1" spans="1:11" ht="14" thickBot="1" x14ac:dyDescent="0.35">
      <c r="A1" s="98" t="s">
        <v>90</v>
      </c>
      <c r="B1" s="99"/>
      <c r="C1" s="99"/>
      <c r="D1" s="99"/>
      <c r="E1" s="99"/>
      <c r="F1" s="99"/>
      <c r="G1" s="99"/>
      <c r="H1" s="99"/>
      <c r="I1" s="99"/>
      <c r="J1" s="99"/>
      <c r="K1" s="100"/>
    </row>
    <row r="3" spans="1:11" x14ac:dyDescent="0.3">
      <c r="A3" t="s">
        <v>29</v>
      </c>
      <c r="D3" s="36">
        <v>2014</v>
      </c>
      <c r="E3" t="s">
        <v>30</v>
      </c>
    </row>
    <row r="6" spans="1:11" x14ac:dyDescent="0.3">
      <c r="A6" s="102" t="s">
        <v>31</v>
      </c>
      <c r="B6" s="103"/>
      <c r="C6" s="34">
        <v>5</v>
      </c>
      <c r="D6" s="102" t="s">
        <v>32</v>
      </c>
      <c r="E6" s="103"/>
      <c r="F6" s="34">
        <v>3.6</v>
      </c>
      <c r="G6" s="102" t="s">
        <v>33</v>
      </c>
      <c r="H6" s="103"/>
      <c r="I6" s="103"/>
      <c r="J6" s="35">
        <v>100</v>
      </c>
      <c r="K6" s="34" t="s">
        <v>34</v>
      </c>
    </row>
    <row r="8" spans="1:11" ht="14" thickBot="1" x14ac:dyDescent="0.35"/>
    <row r="9" spans="1:11" x14ac:dyDescent="0.3">
      <c r="B9" s="80"/>
      <c r="C9" s="104" t="s">
        <v>35</v>
      </c>
      <c r="D9" s="105"/>
      <c r="E9" s="105"/>
      <c r="F9" s="105"/>
      <c r="G9" s="105"/>
      <c r="H9" s="106"/>
      <c r="I9" s="83">
        <f>Produktionsår</f>
        <v>2014</v>
      </c>
      <c r="J9" s="46"/>
      <c r="K9" s="78">
        <f>OpdateretÅrstal</f>
        <v>2025</v>
      </c>
    </row>
    <row r="10" spans="1:11" ht="14" thickBot="1" x14ac:dyDescent="0.35">
      <c r="B10" s="29" t="s">
        <v>36</v>
      </c>
      <c r="C10" s="108" t="s">
        <v>37</v>
      </c>
      <c r="D10" s="108"/>
      <c r="E10" s="108"/>
      <c r="F10" s="108"/>
      <c r="G10" s="108"/>
      <c r="H10" s="108"/>
      <c r="I10" s="81" t="s">
        <v>38</v>
      </c>
      <c r="J10" s="82" t="s">
        <v>39</v>
      </c>
      <c r="K10" s="79" t="s">
        <v>38</v>
      </c>
    </row>
    <row r="11" spans="1:11" x14ac:dyDescent="0.3">
      <c r="B11" s="25" t="s">
        <v>40</v>
      </c>
      <c r="C11" s="109" t="s">
        <v>41</v>
      </c>
      <c r="D11" s="109"/>
      <c r="E11" s="109"/>
      <c r="F11" s="109"/>
      <c r="G11" s="109"/>
      <c r="H11" s="109"/>
      <c r="I11" s="30">
        <v>33.82</v>
      </c>
      <c r="J11" s="37">
        <f>($C$6*$F$6)*I11</f>
        <v>608.76</v>
      </c>
      <c r="K11" s="50">
        <f>J11*(VLOOKUP(OpdateretÅrstal,Prislistetillæg!$A$5:$C$61,3,FALSE)/VLOOKUP(Produktionsår,Prislistetillæg!$A$5:$C$61,3,FALSE))</f>
        <v>996.03687462294363</v>
      </c>
    </row>
    <row r="12" spans="1:11" ht="25.5" customHeight="1" x14ac:dyDescent="0.3">
      <c r="B12" s="26" t="s">
        <v>42</v>
      </c>
      <c r="C12" s="101" t="s">
        <v>43</v>
      </c>
      <c r="D12" s="101"/>
      <c r="E12" s="101"/>
      <c r="F12" s="101"/>
      <c r="G12" s="101"/>
      <c r="H12" s="101"/>
      <c r="I12" s="28">
        <v>7.33</v>
      </c>
      <c r="J12" s="38">
        <f>($C$6*$F$6)*I12</f>
        <v>131.94</v>
      </c>
      <c r="K12" s="50">
        <f>J12*(VLOOKUP(OpdateretÅrstal,Prislistetillæg!$A$5:$C$61,3,FALSE)/VLOOKUP(Produktionsår,Prislistetillæg!$A$5:$C$61,3,FALSE))</f>
        <v>215.8767087813772</v>
      </c>
    </row>
    <row r="13" spans="1:11" x14ac:dyDescent="0.3">
      <c r="B13" s="26" t="s">
        <v>44</v>
      </c>
      <c r="C13" s="101" t="s">
        <v>45</v>
      </c>
      <c r="D13" s="101"/>
      <c r="E13" s="101"/>
      <c r="F13" s="101"/>
      <c r="G13" s="101"/>
      <c r="H13" s="101"/>
      <c r="I13" s="28">
        <v>18.29</v>
      </c>
      <c r="J13" s="39">
        <f>($C$6*$F$6)*2*I13</f>
        <v>658.43999999999994</v>
      </c>
      <c r="K13" s="50">
        <f>J13*(VLOOKUP(OpdateretÅrstal,Prislistetillæg!$A$5:$C$61,3,FALSE)/VLOOKUP(Produktionsår,Prislistetillæg!$A$5:$C$61,3,FALSE))</f>
        <v>1077.3219655147036</v>
      </c>
    </row>
    <row r="14" spans="1:11" ht="25.5" customHeight="1" x14ac:dyDescent="0.3">
      <c r="B14" s="26" t="s">
        <v>46</v>
      </c>
      <c r="C14" s="101" t="s">
        <v>47</v>
      </c>
      <c r="D14" s="101"/>
      <c r="E14" s="101"/>
      <c r="F14" s="101"/>
      <c r="G14" s="101"/>
      <c r="H14" s="101"/>
      <c r="I14" s="28">
        <v>9.36</v>
      </c>
      <c r="J14" s="39">
        <f>($C$6*$F$6)*2*I14</f>
        <v>336.96</v>
      </c>
      <c r="K14" s="50">
        <f>J14*(VLOOKUP(OpdateretÅrstal,Prislistetillæg!$A$5:$C$61,3,FALSE)/VLOOKUP(Produktionsår,Prislistetillæg!$A$5:$C$61,3,FALSE))</f>
        <v>551.32496430932895</v>
      </c>
    </row>
    <row r="15" spans="1:11" x14ac:dyDescent="0.3">
      <c r="B15" s="26" t="s">
        <v>48</v>
      </c>
      <c r="C15" s="101" t="s">
        <v>49</v>
      </c>
      <c r="D15" s="101"/>
      <c r="E15" s="101"/>
      <c r="F15" s="101"/>
      <c r="G15" s="101"/>
      <c r="H15" s="101"/>
      <c r="I15" s="28">
        <v>47.9</v>
      </c>
      <c r="J15" s="38">
        <f>I15*2</f>
        <v>95.8</v>
      </c>
      <c r="K15" s="50">
        <f>J15*(VLOOKUP(OpdateretÅrstal,Prislistetillæg!$A$5:$C$61,3,FALSE)/VLOOKUP(Produktionsår,Prislistetillæg!$A$5:$C$61,3,FALSE))</f>
        <v>156.74540473894146</v>
      </c>
    </row>
    <row r="16" spans="1:11" x14ac:dyDescent="0.3">
      <c r="B16" s="26" t="s">
        <v>50</v>
      </c>
      <c r="C16" s="101" t="s">
        <v>51</v>
      </c>
      <c r="D16" s="101"/>
      <c r="E16" s="101"/>
      <c r="F16" s="101"/>
      <c r="G16" s="101"/>
      <c r="H16" s="101"/>
      <c r="I16" s="28">
        <v>13.16</v>
      </c>
      <c r="J16" s="38">
        <f>I16*1</f>
        <v>13.16</v>
      </c>
      <c r="K16" s="50">
        <f>J16*(VLOOKUP(OpdateretÅrstal,Prislistetillæg!$A$5:$C$61,3,FALSE)/VLOOKUP(Produktionsår,Prislistetillæg!$A$5:$C$61,3,FALSE))</f>
        <v>21.532040985015339</v>
      </c>
    </row>
    <row r="17" spans="1:11" ht="24.75" customHeight="1" x14ac:dyDescent="0.3">
      <c r="B17" s="26" t="s">
        <v>52</v>
      </c>
      <c r="C17" s="101" t="s">
        <v>53</v>
      </c>
      <c r="D17" s="101"/>
      <c r="E17" s="101"/>
      <c r="F17" s="101"/>
      <c r="G17" s="101"/>
      <c r="H17" s="101"/>
      <c r="I17" s="28">
        <v>2.87</v>
      </c>
      <c r="J17" s="38">
        <f>2*C6*I17</f>
        <v>28.700000000000003</v>
      </c>
      <c r="K17" s="50">
        <f>J17*(VLOOKUP(OpdateretÅrstal,Prislistetillæg!$A$5:$C$61,3,FALSE)/VLOOKUP(Produktionsår,Prislistetillæg!$A$5:$C$61,3,FALSE))</f>
        <v>46.958174488597287</v>
      </c>
    </row>
    <row r="18" spans="1:11" x14ac:dyDescent="0.3">
      <c r="B18" s="26"/>
      <c r="C18" s="97"/>
      <c r="D18" s="97"/>
      <c r="E18" s="97"/>
      <c r="F18" s="97"/>
      <c r="G18" s="97"/>
      <c r="H18" s="97"/>
      <c r="I18" s="27"/>
      <c r="J18" s="40"/>
      <c r="K18" s="50">
        <f>J18*(VLOOKUP(OpdateretÅrstal,Prislistetillæg!$A$5:$C$61,3,FALSE)/VLOOKUP(Produktionsår,Prislistetillæg!$A$5:$C$61,3,FALSE))</f>
        <v>0</v>
      </c>
    </row>
    <row r="19" spans="1:11" ht="25.5" customHeight="1" x14ac:dyDescent="0.3">
      <c r="B19" s="26" t="s">
        <v>54</v>
      </c>
      <c r="C19" s="97" t="s">
        <v>55</v>
      </c>
      <c r="D19" s="97"/>
      <c r="E19" s="97"/>
      <c r="F19" s="97"/>
      <c r="G19" s="97"/>
      <c r="H19" s="97"/>
      <c r="I19" s="28">
        <v>3.91</v>
      </c>
      <c r="J19" s="52">
        <f>2*(2*(C6+F6))*I19</f>
        <v>134.50399999999999</v>
      </c>
      <c r="K19" s="50">
        <f>J19*(VLOOKUP(OpdateretÅrstal,Prislistetillæg!$A$5:$C$61,3,FALSE)/VLOOKUP(Produktionsår,Prislistetillæg!$A$5:$C$61,3,FALSE))</f>
        <v>220.0718571921355</v>
      </c>
    </row>
    <row r="20" spans="1:11" x14ac:dyDescent="0.3">
      <c r="B20" s="26" t="s">
        <v>56</v>
      </c>
      <c r="C20" s="97" t="s">
        <v>57</v>
      </c>
      <c r="D20" s="97"/>
      <c r="E20" s="97"/>
      <c r="F20" s="97"/>
      <c r="G20" s="97"/>
      <c r="H20" s="97"/>
      <c r="I20" s="28">
        <v>2.91</v>
      </c>
      <c r="J20" s="51">
        <f>C6*I20</f>
        <v>14.55</v>
      </c>
      <c r="K20" s="50">
        <f>J20*(VLOOKUP(OpdateretÅrstal,Prislistetillæg!$A$5:$C$61,3,FALSE)/VLOOKUP(Produktionsår,Prislistetillæg!$A$5:$C$61,3,FALSE))</f>
        <v>23.80632190972441</v>
      </c>
    </row>
    <row r="21" spans="1:11" x14ac:dyDescent="0.3">
      <c r="B21" s="26" t="s">
        <v>58</v>
      </c>
      <c r="C21" s="97" t="s">
        <v>59</v>
      </c>
      <c r="D21" s="97"/>
      <c r="E21" s="97"/>
      <c r="F21" s="97"/>
      <c r="G21" s="97"/>
      <c r="H21" s="97"/>
      <c r="I21" s="28">
        <v>5.79</v>
      </c>
      <c r="J21" s="31">
        <f>C6*2*I21</f>
        <v>57.9</v>
      </c>
      <c r="K21" s="50">
        <f>J21*(VLOOKUP(OpdateretÅrstal,Prislistetillæg!$A$5:$C$61,3,FALSE)/VLOOKUP(Produktionsår,Prislistetillæg!$A$5:$C$61,3,FALSE))</f>
        <v>94.734435640758974</v>
      </c>
    </row>
    <row r="22" spans="1:11" x14ac:dyDescent="0.3">
      <c r="B22" s="26" t="s">
        <v>60</v>
      </c>
      <c r="C22" s="110" t="s">
        <v>61</v>
      </c>
      <c r="D22" s="111"/>
      <c r="E22" s="111"/>
      <c r="F22" s="111"/>
      <c r="G22" s="111"/>
      <c r="H22" s="112"/>
      <c r="I22" s="28">
        <v>32.729999999999997</v>
      </c>
      <c r="J22" s="38"/>
      <c r="K22" s="50">
        <f>J22*(VLOOKUP(OpdateretÅrstal,Prislistetillæg!$A$5:$C$61,3,FALSE)/VLOOKUP(Produktionsår,Prislistetillæg!$A$5:$C$61,3,FALSE))</f>
        <v>0</v>
      </c>
    </row>
    <row r="23" spans="1:11" x14ac:dyDescent="0.3">
      <c r="B23" s="26" t="s">
        <v>62</v>
      </c>
      <c r="C23" s="110" t="s">
        <v>63</v>
      </c>
      <c r="D23" s="111"/>
      <c r="E23" s="111"/>
      <c r="F23" s="111"/>
      <c r="G23" s="111"/>
      <c r="H23" s="112"/>
      <c r="I23" s="28">
        <v>24.68</v>
      </c>
      <c r="J23" s="38"/>
      <c r="K23" s="50">
        <f>J23*(VLOOKUP(OpdateretÅrstal,Prislistetillæg!$A$5:$C$61,3,FALSE)/VLOOKUP(Produktionsår,Prislistetillæg!$A$5:$C$61,3,FALSE))</f>
        <v>0</v>
      </c>
    </row>
    <row r="24" spans="1:11" ht="38.25" customHeight="1" x14ac:dyDescent="0.3">
      <c r="B24" s="26" t="s">
        <v>64</v>
      </c>
      <c r="C24" s="110" t="s">
        <v>65</v>
      </c>
      <c r="D24" s="111"/>
      <c r="E24" s="111"/>
      <c r="F24" s="111"/>
      <c r="G24" s="111"/>
      <c r="H24" s="112"/>
      <c r="I24" s="56">
        <v>0.05</v>
      </c>
      <c r="J24" s="38"/>
      <c r="K24" s="50">
        <f>J24*(VLOOKUP(OpdateretÅrstal,Prislistetillæg!$A$5:$C$61,3,FALSE)/VLOOKUP(Produktionsår,Prislistetillæg!$A$5:$C$61,3,FALSE))</f>
        <v>0</v>
      </c>
    </row>
    <row r="25" spans="1:11" ht="24.75" customHeight="1" x14ac:dyDescent="0.3">
      <c r="B25" s="26" t="s">
        <v>66</v>
      </c>
      <c r="C25" s="110" t="s">
        <v>67</v>
      </c>
      <c r="D25" s="111"/>
      <c r="E25" s="111"/>
      <c r="F25" s="111"/>
      <c r="G25" s="111"/>
      <c r="H25" s="112"/>
      <c r="I25" s="28">
        <v>5.76</v>
      </c>
      <c r="J25" s="38"/>
      <c r="K25" s="50">
        <f>J25*(VLOOKUP(OpdateretÅrstal,Prislistetillæg!$A$5:$C$61,3,FALSE)/VLOOKUP(Produktionsår,Prislistetillæg!$A$5:$C$61,3,FALSE))</f>
        <v>0</v>
      </c>
    </row>
    <row r="26" spans="1:11" x14ac:dyDescent="0.3">
      <c r="B26" s="26"/>
      <c r="C26" s="97"/>
      <c r="D26" s="97"/>
      <c r="E26" s="97"/>
      <c r="F26" s="97"/>
      <c r="G26" s="97"/>
      <c r="H26" s="97"/>
      <c r="I26" s="27"/>
      <c r="J26" s="40"/>
      <c r="K26" s="47"/>
    </row>
    <row r="27" spans="1:11" x14ac:dyDescent="0.3">
      <c r="B27" s="26"/>
      <c r="C27" s="97" t="s">
        <v>68</v>
      </c>
      <c r="D27" s="97"/>
      <c r="E27" s="97"/>
      <c r="F27" s="97"/>
      <c r="G27" s="97"/>
      <c r="H27" s="97"/>
      <c r="I27" s="28"/>
      <c r="J27" s="38">
        <f>SUM(J11:J19)</f>
        <v>2008.2639999999999</v>
      </c>
      <c r="K27" s="48">
        <f>J27*(VLOOKUP(OpdateretÅrstal,Prislistetillæg!$A$5:$C$61,3,FALSE)/VLOOKUP(Produktionsår,Prislistetillæg!$A$5:$C$61,3,FALSE))</f>
        <v>3285.8679906330431</v>
      </c>
    </row>
    <row r="28" spans="1:11" x14ac:dyDescent="0.3">
      <c r="B28" s="26"/>
      <c r="C28" s="113"/>
      <c r="D28" s="114"/>
      <c r="E28" s="114"/>
      <c r="F28" s="114"/>
      <c r="G28" s="114"/>
      <c r="H28" s="115"/>
      <c r="I28" s="28"/>
      <c r="K28" s="47"/>
    </row>
    <row r="29" spans="1:11" ht="14" thickBot="1" x14ac:dyDescent="0.35">
      <c r="B29" s="32"/>
      <c r="C29" s="107" t="s">
        <v>69</v>
      </c>
      <c r="D29" s="107"/>
      <c r="E29" s="107"/>
      <c r="F29" s="107"/>
      <c r="G29" s="107"/>
      <c r="H29" s="107"/>
      <c r="I29" s="33"/>
      <c r="J29" s="41">
        <f>J27/(C6*F6)</f>
        <v>111.57022222222221</v>
      </c>
      <c r="K29" s="49">
        <f>J29*(VLOOKUP(OpdateretÅrstal,Prislistetillæg!$A$5:$C$61,3,FALSE)/VLOOKUP(Produktionsår,Prislistetillæg!$A$5:$C$61,3,FALSE))</f>
        <v>182.5482217018357</v>
      </c>
    </row>
    <row r="32" spans="1:11" x14ac:dyDescent="0.3">
      <c r="A32" t="s">
        <v>70</v>
      </c>
    </row>
    <row r="33" spans="1:1" x14ac:dyDescent="0.3">
      <c r="A33" t="s">
        <v>71</v>
      </c>
    </row>
  </sheetData>
  <mergeCells count="25">
    <mergeCell ref="C16:H16"/>
    <mergeCell ref="A1:K1"/>
    <mergeCell ref="A6:B6"/>
    <mergeCell ref="D6:E6"/>
    <mergeCell ref="G6:I6"/>
    <mergeCell ref="C10:H10"/>
    <mergeCell ref="C11:H11"/>
    <mergeCell ref="C12:H12"/>
    <mergeCell ref="C13:H13"/>
    <mergeCell ref="C14:H14"/>
    <mergeCell ref="C15:H15"/>
    <mergeCell ref="C9:H9"/>
    <mergeCell ref="C27:H27"/>
    <mergeCell ref="C28:H28"/>
    <mergeCell ref="C29:H29"/>
    <mergeCell ref="C17:H17"/>
    <mergeCell ref="C18:H18"/>
    <mergeCell ref="C19:H19"/>
    <mergeCell ref="C20:H20"/>
    <mergeCell ref="C21:H21"/>
    <mergeCell ref="C26:H26"/>
    <mergeCell ref="C22:H22"/>
    <mergeCell ref="C23:H23"/>
    <mergeCell ref="C24:H24"/>
    <mergeCell ref="C25:H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61</vt:i4>
      </vt:variant>
      <vt:variant>
        <vt:lpstr>Navngivne områder</vt:lpstr>
      </vt:variant>
      <vt:variant>
        <vt:i4>2</vt:i4>
      </vt:variant>
    </vt:vector>
  </HeadingPairs>
  <TitlesOfParts>
    <vt:vector size="63" baseType="lpstr">
      <vt:lpstr>Samle ark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Prislistetillæg</vt:lpstr>
      <vt:lpstr>OpdateretÅrstal</vt:lpstr>
      <vt:lpstr>Produktionsår</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2025-11-04T07:19:53Z</dcterms:modified>
  <cp:category/>
  <cp:contentStatus/>
</cp:coreProperties>
</file>