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bj0048\OneDrive - 3F\Hjemmeside\Lønoversigter til hjemmesiden\2020-2023\Redderoverenskomster\"/>
    </mc:Choice>
  </mc:AlternateContent>
  <xr:revisionPtr revIDLastSave="2" documentId="8_{153AA457-56FC-43B5-837F-3EDDD5823C02}" xr6:coauthVersionLast="45" xr6:coauthVersionMax="45" xr10:uidLastSave="{87A6E6EA-CFC3-45BA-9BAD-1C6366B573D4}"/>
  <bookViews>
    <workbookView showVerticalScroll="0" xWindow="-120" yWindow="-120" windowWidth="29040" windowHeight="15840" firstSheet="2" activeTab="3" xr2:uid="{00000000-000D-0000-FFFF-FFFF00000000}"/>
  </bookViews>
  <sheets>
    <sheet name="Stigninger" sheetId="1" state="hidden" r:id="rId1"/>
    <sheet name="Resultat" sheetId="11" state="hidden" r:id="rId2"/>
    <sheet name="Stigninger interaktiv" sheetId="42" r:id="rId3"/>
    <sheet name="Løn interaktiv" sheetId="41" r:id="rId4"/>
    <sheet name="Stigninger interaktiv farver" sheetId="22" state="hidden" r:id="rId5"/>
    <sheet name="Løn interaktiv farve" sheetId="44" state="hidden" r:id="rId6"/>
    <sheet name="B. Ambulance" sheetId="40" state="hidden" r:id="rId7"/>
    <sheet name="C. Brand" sheetId="35" state="hidden" r:id="rId8"/>
    <sheet name="D. Liggende sygetransport" sheetId="36" state="hidden" r:id="rId9"/>
    <sheet name="E. PTR (persontransport)" sheetId="37" state="hidden" r:id="rId10"/>
    <sheet name="F. Assistance 1" sheetId="38" state="hidden" r:id="rId11"/>
    <sheet name="F. Assistance 2" sheetId="39" state="hidden" r:id="rId12"/>
  </sheets>
  <definedNames>
    <definedName name="_xlnm.Print_Titles" localSheetId="6">'B. Ambulance'!$1:$10</definedName>
    <definedName name="_xlnm.Print_Titles" localSheetId="7">'C. Brand'!$1:$8</definedName>
    <definedName name="_xlnm.Print_Titles" localSheetId="8">'D. Liggende sygetransport'!$1:$8</definedName>
    <definedName name="_xlnm.Print_Titles" localSheetId="9">'E. PTR (persontransport)'!$1:$8</definedName>
    <definedName name="_xlnm.Print_Titles" localSheetId="10">'F. Assistance 1'!$1:$12</definedName>
    <definedName name="_xlnm.Print_Titles" localSheetId="11">'F. Assistance 2'!$1:$9</definedName>
    <definedName name="_xlnm.Print_Titles" localSheetId="3">'Løn interaktiv'!$1:$6</definedName>
    <definedName name="_xlnm.Print_Titles" localSheetId="5">'Løn interaktiv farve'!$1:$5</definedName>
    <definedName name="_xlnm.Print_Titles" localSheetId="1">Resultat!$1:$2</definedName>
    <definedName name="_xlnm.Print_Titles" localSheetId="0">Stigninger!$1:$2</definedName>
    <definedName name="_xlnm.Print_Titles" localSheetId="2">'Stigninger interaktiv'!$1:$6</definedName>
    <definedName name="_xlnm.Print_Titles" localSheetId="4">'Stigninger interaktiv farver'!$1:$5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41" l="1"/>
  <c r="G31" i="22" l="1"/>
  <c r="G31" i="44"/>
  <c r="A64" i="44"/>
  <c r="B35" i="44"/>
  <c r="B31" i="44"/>
  <c r="F34" i="42"/>
  <c r="D34" i="42"/>
  <c r="B34" i="42"/>
  <c r="B35" i="22"/>
  <c r="H34" i="41"/>
  <c r="F34" i="41"/>
  <c r="D34" i="41"/>
  <c r="B34" i="41"/>
  <c r="G35" i="22"/>
  <c r="B36" i="22"/>
  <c r="B31" i="22"/>
  <c r="F33" i="42"/>
  <c r="D33" i="42"/>
  <c r="B33" i="42"/>
  <c r="F35" i="41"/>
  <c r="A36" i="41"/>
  <c r="A31" i="41"/>
  <c r="A36" i="42"/>
  <c r="F31" i="42"/>
  <c r="B28" i="22" l="1"/>
  <c r="B21" i="44" l="1"/>
  <c r="G21" i="44"/>
  <c r="E21" i="44"/>
  <c r="C21" i="44"/>
  <c r="B39" i="42" l="1"/>
  <c r="D39" i="42"/>
  <c r="F39" i="42"/>
  <c r="G48" i="22"/>
  <c r="E48" i="22"/>
  <c r="C48" i="22"/>
  <c r="G43" i="22"/>
  <c r="G42" i="22"/>
  <c r="E43" i="22"/>
  <c r="E42" i="22"/>
  <c r="E44" i="22" s="1"/>
  <c r="C43" i="22"/>
  <c r="C42" i="22"/>
  <c r="G39" i="22"/>
  <c r="G38" i="22"/>
  <c r="E39" i="22"/>
  <c r="E38" i="22"/>
  <c r="C39" i="22"/>
  <c r="C38" i="22"/>
  <c r="F49" i="42"/>
  <c r="D49" i="42"/>
  <c r="B49" i="42"/>
  <c r="F44" i="42"/>
  <c r="F43" i="42"/>
  <c r="D44" i="42"/>
  <c r="D43" i="42"/>
  <c r="B44" i="42"/>
  <c r="B43" i="42"/>
  <c r="F40" i="42"/>
  <c r="D40" i="42"/>
  <c r="B40" i="42"/>
  <c r="B36" i="44"/>
  <c r="B34" i="44"/>
  <c r="B30" i="44"/>
  <c r="B28" i="44"/>
  <c r="A1" i="22"/>
  <c r="J17" i="44"/>
  <c r="B17" i="44"/>
  <c r="K16" i="44"/>
  <c r="Q15" i="44"/>
  <c r="K15" i="44"/>
  <c r="Q14" i="44"/>
  <c r="M14" i="44"/>
  <c r="K14" i="44"/>
  <c r="Q13" i="44"/>
  <c r="K13" i="44"/>
  <c r="K12" i="44"/>
  <c r="Q11" i="44"/>
  <c r="K11" i="44"/>
  <c r="C10" i="44"/>
  <c r="C17" i="44" s="1"/>
  <c r="B10" i="44"/>
  <c r="B9" i="44"/>
  <c r="B8" i="44"/>
  <c r="B7" i="44"/>
  <c r="F45" i="42" l="1"/>
  <c r="B45" i="42"/>
  <c r="D45" i="42"/>
  <c r="G44" i="22"/>
  <c r="C44" i="22"/>
  <c r="K16" i="22" l="1"/>
  <c r="K15" i="22"/>
  <c r="K14" i="22"/>
  <c r="K13" i="22"/>
  <c r="K12" i="22"/>
  <c r="K11" i="22"/>
  <c r="C10" i="22"/>
  <c r="C17" i="22" s="1"/>
  <c r="B10" i="22"/>
  <c r="B9" i="22"/>
  <c r="B8" i="22"/>
  <c r="B17" i="22"/>
  <c r="P15" i="22"/>
  <c r="P14" i="22"/>
  <c r="P13" i="22"/>
  <c r="P11" i="22"/>
  <c r="L14" i="22"/>
  <c r="J17" i="22"/>
  <c r="B7" i="22"/>
  <c r="B8" i="39"/>
  <c r="K14" i="41"/>
  <c r="J14" i="42"/>
  <c r="F47" i="41"/>
  <c r="D47" i="41"/>
  <c r="B47" i="41"/>
  <c r="F47" i="42"/>
  <c r="D47" i="42"/>
  <c r="B47" i="42"/>
  <c r="O9" i="41"/>
  <c r="O8" i="41"/>
  <c r="O15" i="41"/>
  <c r="O14" i="41"/>
  <c r="O13" i="41"/>
  <c r="O11" i="41"/>
  <c r="N15" i="42"/>
  <c r="N14" i="42"/>
  <c r="N13" i="42"/>
  <c r="N11" i="42"/>
  <c r="A75" i="11" l="1"/>
  <c r="A74" i="11"/>
  <c r="A73" i="11"/>
  <c r="A72" i="11"/>
  <c r="A71" i="11"/>
  <c r="A70" i="11"/>
  <c r="A69" i="11"/>
  <c r="A68" i="11"/>
  <c r="A67" i="11"/>
  <c r="A66" i="11"/>
  <c r="A65" i="11"/>
  <c r="B17" i="42"/>
  <c r="B9" i="40"/>
  <c r="B8" i="40"/>
  <c r="B7" i="40"/>
  <c r="B75" i="11"/>
  <c r="C75" i="11" s="1"/>
  <c r="D75" i="11" s="1"/>
  <c r="E75" i="11" s="1"/>
  <c r="E75" i="1" s="1"/>
  <c r="B74" i="11"/>
  <c r="C74" i="11" s="1"/>
  <c r="B73" i="11"/>
  <c r="C73" i="11" s="1"/>
  <c r="B72" i="11"/>
  <c r="C72" i="11" s="1"/>
  <c r="D72" i="11" s="1"/>
  <c r="E72" i="11" s="1"/>
  <c r="E72" i="1" s="1"/>
  <c r="B71" i="11"/>
  <c r="C71" i="11" s="1"/>
  <c r="B70" i="11"/>
  <c r="C70" i="11" s="1"/>
  <c r="B69" i="11"/>
  <c r="C69" i="11" s="1"/>
  <c r="D69" i="11" s="1"/>
  <c r="E69" i="11" s="1"/>
  <c r="E69" i="1" s="1"/>
  <c r="B68" i="11"/>
  <c r="C68" i="11" s="1"/>
  <c r="D68" i="11" s="1"/>
  <c r="E68" i="11" s="1"/>
  <c r="E68" i="1" s="1"/>
  <c r="B67" i="11"/>
  <c r="C67" i="11" s="1"/>
  <c r="D67" i="11" s="1"/>
  <c r="E67" i="11" s="1"/>
  <c r="E67" i="1" s="1"/>
  <c r="B66" i="11"/>
  <c r="C66" i="11" s="1"/>
  <c r="D66" i="11" s="1"/>
  <c r="E66" i="11" s="1"/>
  <c r="E66" i="1" s="1"/>
  <c r="B65" i="11"/>
  <c r="C65" i="11" s="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A64" i="1"/>
  <c r="A63" i="1"/>
  <c r="A62" i="1"/>
  <c r="A1" i="11"/>
  <c r="A49" i="11"/>
  <c r="A48" i="11"/>
  <c r="B151" i="11"/>
  <c r="B150" i="11"/>
  <c r="B148" i="11"/>
  <c r="B147" i="11"/>
  <c r="B146" i="11"/>
  <c r="E125" i="1"/>
  <c r="D125" i="1"/>
  <c r="C125" i="1"/>
  <c r="B125" i="1"/>
  <c r="E111" i="1"/>
  <c r="D111" i="1"/>
  <c r="C111" i="1"/>
  <c r="B105" i="1"/>
  <c r="B104" i="1"/>
  <c r="E98" i="1"/>
  <c r="D98" i="1"/>
  <c r="C98" i="1"/>
  <c r="E89" i="1"/>
  <c r="D89" i="1"/>
  <c r="C89" i="1"/>
  <c r="B83" i="1"/>
  <c r="B82" i="1"/>
  <c r="B57" i="1"/>
  <c r="B56" i="1"/>
  <c r="E77" i="1"/>
  <c r="D77" i="1"/>
  <c r="C77" i="1"/>
  <c r="B77" i="1"/>
  <c r="B76" i="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09" i="11"/>
  <c r="A100" i="11"/>
  <c r="A99" i="11"/>
  <c r="A64" i="11"/>
  <c r="A61" i="11"/>
  <c r="A60" i="11"/>
  <c r="A59" i="11"/>
  <c r="A125" i="1"/>
  <c r="A124" i="1"/>
  <c r="A116" i="1"/>
  <c r="A124" i="11" s="1"/>
  <c r="A115" i="1"/>
  <c r="A114" i="1"/>
  <c r="A111" i="1"/>
  <c r="A117" i="11" s="1"/>
  <c r="A110" i="1"/>
  <c r="A116" i="11" s="1"/>
  <c r="A106" i="1"/>
  <c r="A112" i="11" s="1"/>
  <c r="A105" i="1"/>
  <c r="A111" i="11" s="1"/>
  <c r="A104" i="1"/>
  <c r="A110" i="11" s="1"/>
  <c r="A102" i="1"/>
  <c r="A108" i="11" s="1"/>
  <c r="A101" i="1"/>
  <c r="A107" i="11" s="1"/>
  <c r="A98" i="1"/>
  <c r="A102" i="11" s="1"/>
  <c r="A97" i="1"/>
  <c r="A101" i="11" s="1"/>
  <c r="A94" i="1"/>
  <c r="A98" i="11" s="1"/>
  <c r="A93" i="1"/>
  <c r="A97" i="11" s="1"/>
  <c r="A92" i="1"/>
  <c r="A96" i="11" s="1"/>
  <c r="A89" i="1"/>
  <c r="A88" i="1"/>
  <c r="A77" i="1"/>
  <c r="A76" i="1"/>
  <c r="A84" i="1"/>
  <c r="A86" i="11" s="1"/>
  <c r="A83" i="1"/>
  <c r="A85" i="11" s="1"/>
  <c r="A82" i="1"/>
  <c r="A84" i="11" s="1"/>
  <c r="A81" i="1"/>
  <c r="A83" i="11" s="1"/>
  <c r="A80" i="1"/>
  <c r="A58" i="1"/>
  <c r="A58" i="11" s="1"/>
  <c r="A57" i="1"/>
  <c r="A57" i="11" s="1"/>
  <c r="A56" i="1"/>
  <c r="A56" i="11" s="1"/>
  <c r="A55" i="1"/>
  <c r="A55" i="11" s="1"/>
  <c r="A54" i="1"/>
  <c r="A54" i="11" s="1"/>
  <c r="F10" i="39"/>
  <c r="D10" i="39"/>
  <c r="B10" i="39"/>
  <c r="F13" i="38"/>
  <c r="D13" i="38"/>
  <c r="B13" i="38"/>
  <c r="F9" i="37"/>
  <c r="D9" i="37"/>
  <c r="B9" i="37"/>
  <c r="F9" i="36"/>
  <c r="D9" i="36"/>
  <c r="B9" i="36"/>
  <c r="F9" i="35"/>
  <c r="D9" i="35"/>
  <c r="B9" i="35"/>
  <c r="A5" i="36"/>
  <c r="A5" i="37"/>
  <c r="A5" i="38"/>
  <c r="A5" i="39"/>
  <c r="A5" i="35"/>
  <c r="A4" i="36"/>
  <c r="A4" i="37"/>
  <c r="A4" i="38"/>
  <c r="A4" i="39"/>
  <c r="A4" i="35"/>
  <c r="A2" i="36"/>
  <c r="A2" i="37"/>
  <c r="A2" i="38"/>
  <c r="A2" i="39"/>
  <c r="A2" i="35"/>
  <c r="A1" i="36"/>
  <c r="A1" i="37"/>
  <c r="A1" i="38"/>
  <c r="A1" i="39"/>
  <c r="A1" i="35"/>
  <c r="B10" i="41"/>
  <c r="B17" i="41" s="1"/>
  <c r="A10" i="41"/>
  <c r="A9" i="41"/>
  <c r="I9" i="41"/>
  <c r="I16" i="42"/>
  <c r="I15" i="42"/>
  <c r="I14" i="42"/>
  <c r="I13" i="42"/>
  <c r="I12" i="42"/>
  <c r="I11" i="42"/>
  <c r="H17" i="42"/>
  <c r="I16" i="41"/>
  <c r="I15" i="41"/>
  <c r="I14" i="41"/>
  <c r="I13" i="41"/>
  <c r="I12" i="41"/>
  <c r="I11" i="41"/>
  <c r="H17" i="41"/>
  <c r="A121" i="11"/>
  <c r="E6" i="1"/>
  <c r="D6" i="1"/>
  <c r="C6" i="1"/>
  <c r="H9" i="41"/>
  <c r="A8" i="41" s="1"/>
  <c r="A8" i="42"/>
  <c r="A5" i="41"/>
  <c r="A4" i="41"/>
  <c r="A4" i="42"/>
  <c r="A5" i="42"/>
  <c r="A30" i="41"/>
  <c r="A28" i="41"/>
  <c r="A21" i="41"/>
  <c r="A7" i="41"/>
  <c r="F22" i="42" l="1"/>
  <c r="G22" i="22"/>
  <c r="Q12" i="44"/>
  <c r="O12" i="41"/>
  <c r="P12" i="22"/>
  <c r="N12" i="42"/>
  <c r="Q16" i="44"/>
  <c r="N16" i="42"/>
  <c r="O16" i="41"/>
  <c r="P16" i="22"/>
  <c r="C22" i="22"/>
  <c r="B22" i="42"/>
  <c r="D22" i="42"/>
  <c r="E22" i="22"/>
  <c r="D74" i="11"/>
  <c r="C74" i="1"/>
  <c r="D70" i="11"/>
  <c r="C70" i="1"/>
  <c r="D71" i="11"/>
  <c r="C71" i="1"/>
  <c r="D65" i="11"/>
  <c r="C65" i="1"/>
  <c r="C73" i="1"/>
  <c r="D73" i="11"/>
  <c r="C66" i="1"/>
  <c r="B41" i="44"/>
  <c r="B41" i="22"/>
  <c r="D66" i="1"/>
  <c r="C69" i="1"/>
  <c r="B42" i="44"/>
  <c r="B42" i="22"/>
  <c r="B33" i="44"/>
  <c r="L9" i="44" s="1"/>
  <c r="B38" i="44"/>
  <c r="B38" i="22"/>
  <c r="B33" i="22"/>
  <c r="D69" i="1"/>
  <c r="C72" i="1"/>
  <c r="B39" i="44"/>
  <c r="B29" i="44"/>
  <c r="B39" i="22"/>
  <c r="B29" i="22"/>
  <c r="C67" i="1"/>
  <c r="D72" i="1"/>
  <c r="C75" i="1"/>
  <c r="D67" i="1"/>
  <c r="D75" i="1"/>
  <c r="B43" i="44"/>
  <c r="B43" i="22"/>
  <c r="B44" i="44"/>
  <c r="B44" i="22"/>
  <c r="H11" i="41"/>
  <c r="J11" i="44"/>
  <c r="J11" i="22"/>
  <c r="H11" i="42"/>
  <c r="C68" i="1"/>
  <c r="D68" i="1"/>
  <c r="A5" i="22"/>
  <c r="A5" i="44"/>
  <c r="A4" i="22"/>
  <c r="A4" i="44"/>
  <c r="H21" i="41"/>
  <c r="A34" i="41"/>
  <c r="E65" i="11" l="1"/>
  <c r="E65" i="1" s="1"/>
  <c r="D65" i="1"/>
  <c r="B11" i="44"/>
  <c r="B18" i="44"/>
  <c r="E71" i="11"/>
  <c r="E71" i="1" s="1"/>
  <c r="D71" i="1"/>
  <c r="B11" i="22"/>
  <c r="B18" i="22"/>
  <c r="E70" i="11"/>
  <c r="E70" i="1" s="1"/>
  <c r="D70" i="1"/>
  <c r="E73" i="11"/>
  <c r="E73" i="1" s="1"/>
  <c r="D73" i="1"/>
  <c r="E74" i="11"/>
  <c r="E74" i="1" s="1"/>
  <c r="D74" i="1"/>
  <c r="C47" i="11"/>
  <c r="D47" i="11" s="1"/>
  <c r="E47" i="11" s="1"/>
  <c r="E49" i="1" s="1"/>
  <c r="C46" i="11"/>
  <c r="D46" i="11" s="1"/>
  <c r="E46" i="11" s="1"/>
  <c r="E48" i="1" s="1"/>
  <c r="C45" i="11"/>
  <c r="C47" i="1" s="1"/>
  <c r="C44" i="11"/>
  <c r="C46" i="1" s="1"/>
  <c r="C43" i="11"/>
  <c r="D43" i="11" s="1"/>
  <c r="C42" i="11"/>
  <c r="C44" i="1" s="1"/>
  <c r="C41" i="11"/>
  <c r="D41" i="11" s="1"/>
  <c r="E41" i="11" s="1"/>
  <c r="E43" i="1" s="1"/>
  <c r="C40" i="11"/>
  <c r="D40" i="11" s="1"/>
  <c r="E40" i="11" s="1"/>
  <c r="E42" i="1" s="1"/>
  <c r="C39" i="11"/>
  <c r="D39" i="11" s="1"/>
  <c r="E39" i="11" s="1"/>
  <c r="E41" i="1" s="1"/>
  <c r="C38" i="11"/>
  <c r="D38" i="11" s="1"/>
  <c r="E38" i="11" s="1"/>
  <c r="E40" i="1" s="1"/>
  <c r="C37" i="11"/>
  <c r="D37" i="11" s="1"/>
  <c r="C36" i="11"/>
  <c r="C38" i="1" s="1"/>
  <c r="C35" i="11"/>
  <c r="C37" i="1" s="1"/>
  <c r="C34" i="11"/>
  <c r="C36" i="1" s="1"/>
  <c r="C33" i="11"/>
  <c r="D33" i="11" s="1"/>
  <c r="E33" i="11" s="1"/>
  <c r="E35" i="1" s="1"/>
  <c r="C32" i="11"/>
  <c r="D32" i="11" s="1"/>
  <c r="E32" i="11" s="1"/>
  <c r="E34" i="1" s="1"/>
  <c r="C31" i="11"/>
  <c r="D31" i="11" s="1"/>
  <c r="E31" i="11" s="1"/>
  <c r="E33" i="1" s="1"/>
  <c r="C30" i="11"/>
  <c r="D30" i="11" s="1"/>
  <c r="E30" i="11" s="1"/>
  <c r="E32" i="1" s="1"/>
  <c r="C29" i="11"/>
  <c r="D29" i="11" s="1"/>
  <c r="E29" i="11" s="1"/>
  <c r="E31" i="1" s="1"/>
  <c r="A47" i="11"/>
  <c r="A58" i="40" s="1"/>
  <c r="A46" i="11"/>
  <c r="A57" i="40" s="1"/>
  <c r="A45" i="11"/>
  <c r="A56" i="40" s="1"/>
  <c r="A44" i="11"/>
  <c r="A55" i="40" s="1"/>
  <c r="A43" i="11"/>
  <c r="A54" i="40" s="1"/>
  <c r="A42" i="11"/>
  <c r="A53" i="40" s="1"/>
  <c r="A41" i="11"/>
  <c r="A52" i="40" s="1"/>
  <c r="A40" i="11"/>
  <c r="A51" i="40" s="1"/>
  <c r="A39" i="11"/>
  <c r="A50" i="40" s="1"/>
  <c r="A38" i="11"/>
  <c r="A49" i="40" s="1"/>
  <c r="A37" i="11"/>
  <c r="A48" i="40" s="1"/>
  <c r="A36" i="11"/>
  <c r="A47" i="40" s="1"/>
  <c r="A35" i="11"/>
  <c r="A46" i="40" s="1"/>
  <c r="A34" i="11"/>
  <c r="A45" i="40" s="1"/>
  <c r="A33" i="11"/>
  <c r="A44" i="40" s="1"/>
  <c r="A32" i="11"/>
  <c r="A43" i="40" s="1"/>
  <c r="A31" i="11"/>
  <c r="A42" i="40" s="1"/>
  <c r="A30" i="11"/>
  <c r="A41" i="40" s="1"/>
  <c r="A29" i="11"/>
  <c r="A40" i="40" s="1"/>
  <c r="A28" i="11"/>
  <c r="A39" i="40" s="1"/>
  <c r="A17" i="41" s="1"/>
  <c r="A26" i="11"/>
  <c r="A25" i="11"/>
  <c r="F38" i="42"/>
  <c r="D38" i="42"/>
  <c r="B38" i="42"/>
  <c r="F21" i="42"/>
  <c r="D21" i="42"/>
  <c r="B21" i="42"/>
  <c r="A3" i="42"/>
  <c r="A2" i="42"/>
  <c r="F38" i="41"/>
  <c r="D38" i="41"/>
  <c r="B38" i="41"/>
  <c r="F21" i="41"/>
  <c r="D21" i="41"/>
  <c r="B21" i="41"/>
  <c r="A3" i="41"/>
  <c r="A2" i="41"/>
  <c r="A1" i="41"/>
  <c r="A1" i="44" s="1"/>
  <c r="D42" i="11" l="1"/>
  <c r="E42" i="11" s="1"/>
  <c r="E44" i="1" s="1"/>
  <c r="A62" i="11"/>
  <c r="B27" i="44"/>
  <c r="B27" i="22"/>
  <c r="D43" i="1"/>
  <c r="A2" i="22"/>
  <c r="A2" i="44"/>
  <c r="A3" i="22"/>
  <c r="A3" i="44"/>
  <c r="C33" i="1"/>
  <c r="D34" i="11"/>
  <c r="D35" i="1"/>
  <c r="C49" i="1"/>
  <c r="D36" i="11"/>
  <c r="A37" i="40"/>
  <c r="E37" i="11"/>
  <c r="E39" i="1" s="1"/>
  <c r="D39" i="1"/>
  <c r="E43" i="11"/>
  <c r="E45" i="1" s="1"/>
  <c r="D45" i="1"/>
  <c r="C41" i="1"/>
  <c r="D35" i="11"/>
  <c r="D33" i="1"/>
  <c r="D41" i="1"/>
  <c r="D49" i="1"/>
  <c r="D44" i="11"/>
  <c r="D45" i="11"/>
  <c r="C39" i="1"/>
  <c r="D44" i="1"/>
  <c r="C34" i="1"/>
  <c r="C42" i="1"/>
  <c r="D34" i="1"/>
  <c r="D42" i="1"/>
  <c r="C45" i="1"/>
  <c r="C32" i="1"/>
  <c r="C40" i="1"/>
  <c r="C48" i="1"/>
  <c r="D32" i="1"/>
  <c r="C35" i="1"/>
  <c r="D40" i="1"/>
  <c r="C43" i="1"/>
  <c r="D48" i="1"/>
  <c r="A38" i="40"/>
  <c r="A63" i="11"/>
  <c r="C31" i="1"/>
  <c r="D31" i="1"/>
  <c r="A27" i="41"/>
  <c r="A27" i="42"/>
  <c r="E36" i="11" l="1"/>
  <c r="E38" i="1" s="1"/>
  <c r="D38" i="1"/>
  <c r="D36" i="1"/>
  <c r="E34" i="11"/>
  <c r="E36" i="1" s="1"/>
  <c r="E35" i="11"/>
  <c r="E37" i="1" s="1"/>
  <c r="D37" i="1"/>
  <c r="E45" i="11"/>
  <c r="E47" i="1" s="1"/>
  <c r="D47" i="1"/>
  <c r="E44" i="11"/>
  <c r="E46" i="1" s="1"/>
  <c r="D46" i="1"/>
  <c r="F58" i="40"/>
  <c r="D58" i="40"/>
  <c r="B58" i="40"/>
  <c r="F57" i="40"/>
  <c r="D57" i="40"/>
  <c r="B57" i="40"/>
  <c r="D56" i="40"/>
  <c r="B56" i="40"/>
  <c r="D55" i="40"/>
  <c r="B55" i="40"/>
  <c r="F54" i="40"/>
  <c r="D54" i="40"/>
  <c r="B54" i="40"/>
  <c r="F53" i="40"/>
  <c r="D53" i="40"/>
  <c r="B53" i="40"/>
  <c r="F52" i="40"/>
  <c r="D52" i="40"/>
  <c r="B52" i="40"/>
  <c r="F51" i="40"/>
  <c r="D51" i="40"/>
  <c r="B51" i="40"/>
  <c r="F50" i="40"/>
  <c r="D50" i="40"/>
  <c r="B50" i="40"/>
  <c r="F49" i="40"/>
  <c r="D49" i="40"/>
  <c r="B49" i="40"/>
  <c r="F48" i="40"/>
  <c r="D48" i="40"/>
  <c r="B48" i="40"/>
  <c r="D47" i="40"/>
  <c r="B47" i="40"/>
  <c r="F46" i="40"/>
  <c r="D46" i="40"/>
  <c r="B46" i="40"/>
  <c r="D45" i="40"/>
  <c r="B45" i="40"/>
  <c r="F44" i="40"/>
  <c r="D44" i="40"/>
  <c r="B44" i="40"/>
  <c r="F43" i="40"/>
  <c r="D43" i="40"/>
  <c r="B43" i="40"/>
  <c r="F42" i="40"/>
  <c r="D42" i="40"/>
  <c r="B42" i="40"/>
  <c r="F41" i="40"/>
  <c r="D41" i="40"/>
  <c r="B41" i="40"/>
  <c r="F40" i="40"/>
  <c r="D40" i="40"/>
  <c r="B40" i="40"/>
  <c r="A67" i="40"/>
  <c r="A66" i="40"/>
  <c r="A65" i="40"/>
  <c r="F64" i="40"/>
  <c r="D64" i="40"/>
  <c r="B64" i="40"/>
  <c r="A64" i="40"/>
  <c r="F60" i="40"/>
  <c r="D60" i="40"/>
  <c r="B60" i="40"/>
  <c r="A76" i="40"/>
  <c r="A75" i="40"/>
  <c r="A74" i="40"/>
  <c r="A73" i="40"/>
  <c r="A72" i="40"/>
  <c r="A71" i="40"/>
  <c r="A70" i="40"/>
  <c r="F69" i="40"/>
  <c r="D69" i="40"/>
  <c r="B69" i="40"/>
  <c r="A69" i="40"/>
  <c r="F78" i="40"/>
  <c r="D78" i="40"/>
  <c r="B78" i="40"/>
  <c r="F39" i="40"/>
  <c r="D39" i="40"/>
  <c r="B39" i="40"/>
  <c r="F21" i="40"/>
  <c r="D21" i="40"/>
  <c r="B21" i="40"/>
  <c r="A136" i="11"/>
  <c r="E137" i="11"/>
  <c r="D137" i="11"/>
  <c r="C137" i="11"/>
  <c r="B137" i="11"/>
  <c r="E136" i="11"/>
  <c r="D136" i="11"/>
  <c r="C136" i="11"/>
  <c r="B136" i="11"/>
  <c r="A120" i="11"/>
  <c r="E121" i="11"/>
  <c r="D121" i="11"/>
  <c r="C121" i="11"/>
  <c r="B121" i="11"/>
  <c r="E120" i="11"/>
  <c r="D120" i="11"/>
  <c r="C120" i="11"/>
  <c r="B120" i="11"/>
  <c r="A105" i="11"/>
  <c r="E106" i="11"/>
  <c r="D106" i="11"/>
  <c r="C106" i="11"/>
  <c r="B106" i="11"/>
  <c r="E105" i="11"/>
  <c r="D105" i="11"/>
  <c r="C105" i="11"/>
  <c r="B105" i="11"/>
  <c r="A94" i="11"/>
  <c r="E95" i="11"/>
  <c r="D95" i="11"/>
  <c r="C95" i="11"/>
  <c r="B95" i="11"/>
  <c r="E94" i="11"/>
  <c r="D94" i="11"/>
  <c r="C94" i="11"/>
  <c r="B94" i="11"/>
  <c r="A80" i="11"/>
  <c r="E81" i="11"/>
  <c r="D81" i="11"/>
  <c r="C81" i="11"/>
  <c r="B81" i="11"/>
  <c r="E80" i="11"/>
  <c r="D80" i="11"/>
  <c r="C80" i="11"/>
  <c r="B80" i="11"/>
  <c r="A52" i="11"/>
  <c r="E53" i="11"/>
  <c r="D53" i="11"/>
  <c r="C53" i="11"/>
  <c r="B53" i="11"/>
  <c r="E52" i="11"/>
  <c r="D52" i="11"/>
  <c r="C52" i="11"/>
  <c r="B52" i="11"/>
  <c r="E2" i="11"/>
  <c r="E1" i="11"/>
  <c r="D2" i="11"/>
  <c r="D1" i="11"/>
  <c r="C2" i="11"/>
  <c r="C1" i="11"/>
  <c r="B2" i="11"/>
  <c r="B1" i="11"/>
  <c r="B24" i="11"/>
  <c r="C24" i="11" s="1"/>
  <c r="D24" i="11" s="1"/>
  <c r="E24" i="11" s="1"/>
  <c r="F35" i="40" s="1"/>
  <c r="B23" i="11"/>
  <c r="C23" i="11" s="1"/>
  <c r="D23" i="11" s="1"/>
  <c r="E23" i="11" s="1"/>
  <c r="F34" i="40" s="1"/>
  <c r="B22" i="11"/>
  <c r="C22" i="11" s="1"/>
  <c r="D22" i="11" s="1"/>
  <c r="E22" i="11" s="1"/>
  <c r="F33" i="40" s="1"/>
  <c r="B21" i="11"/>
  <c r="C21" i="11" s="1"/>
  <c r="D21" i="11" s="1"/>
  <c r="E21" i="11" s="1"/>
  <c r="F32" i="40" s="1"/>
  <c r="B20" i="11"/>
  <c r="C20" i="11" s="1"/>
  <c r="D20" i="11" s="1"/>
  <c r="E20" i="11" s="1"/>
  <c r="F31" i="40" s="1"/>
  <c r="B19" i="11"/>
  <c r="C19" i="11" s="1"/>
  <c r="D19" i="11" s="1"/>
  <c r="E19" i="11" s="1"/>
  <c r="F30" i="40" s="1"/>
  <c r="B18" i="11"/>
  <c r="C18" i="11" s="1"/>
  <c r="D18" i="11" s="1"/>
  <c r="E18" i="11" s="1"/>
  <c r="F29" i="40" s="1"/>
  <c r="B17" i="11"/>
  <c r="C17" i="11" s="1"/>
  <c r="D17" i="11" s="1"/>
  <c r="E17" i="11" s="1"/>
  <c r="F28" i="40" s="1"/>
  <c r="B16" i="11"/>
  <c r="C16" i="11" s="1"/>
  <c r="D16" i="11" s="1"/>
  <c r="E16" i="11" s="1"/>
  <c r="F27" i="40" s="1"/>
  <c r="B15" i="11"/>
  <c r="C15" i="11" s="1"/>
  <c r="D15" i="11" s="1"/>
  <c r="E15" i="11" s="1"/>
  <c r="F26" i="40" s="1"/>
  <c r="B14" i="11"/>
  <c r="C14" i="11" s="1"/>
  <c r="D14" i="11" s="1"/>
  <c r="E14" i="11" s="1"/>
  <c r="F25" i="40" s="1"/>
  <c r="B13" i="11"/>
  <c r="C13" i="11" s="1"/>
  <c r="D13" i="11" s="1"/>
  <c r="E13" i="11" s="1"/>
  <c r="F24" i="40" s="1"/>
  <c r="B12" i="11"/>
  <c r="C12" i="11" s="1"/>
  <c r="D12" i="11" s="1"/>
  <c r="E12" i="11" s="1"/>
  <c r="F23" i="40" s="1"/>
  <c r="B11" i="11"/>
  <c r="C11" i="11" s="1"/>
  <c r="D11" i="11" s="1"/>
  <c r="E11" i="11" s="1"/>
  <c r="F22" i="40" s="1"/>
  <c r="B9" i="11"/>
  <c r="C9" i="11" s="1"/>
  <c r="D9" i="11" s="1"/>
  <c r="E9" i="11" s="1"/>
  <c r="F19" i="40" s="1"/>
  <c r="B8" i="11"/>
  <c r="C8" i="11" s="1"/>
  <c r="D8" i="11" s="1"/>
  <c r="E8" i="11" s="1"/>
  <c r="F18" i="40" s="1"/>
  <c r="B7" i="11"/>
  <c r="C7" i="11" s="1"/>
  <c r="D7" i="11" s="1"/>
  <c r="E7" i="11" s="1"/>
  <c r="F16" i="40" s="1"/>
  <c r="B6" i="11"/>
  <c r="C6" i="11" s="1"/>
  <c r="D6" i="11" s="1"/>
  <c r="E6" i="11" s="1"/>
  <c r="F15" i="40" s="1"/>
  <c r="B5" i="11"/>
  <c r="C5" i="11" s="1"/>
  <c r="D5" i="11" s="1"/>
  <c r="E5" i="11" s="1"/>
  <c r="F14" i="40" s="1"/>
  <c r="B3" i="11"/>
  <c r="B49" i="11"/>
  <c r="C49" i="11" s="1"/>
  <c r="B48" i="11"/>
  <c r="A61" i="40"/>
  <c r="A24" i="11"/>
  <c r="A35" i="40" s="1"/>
  <c r="A23" i="11"/>
  <c r="A34" i="40" s="1"/>
  <c r="A22" i="11"/>
  <c r="A33" i="40" s="1"/>
  <c r="A21" i="11"/>
  <c r="A32" i="40" s="1"/>
  <c r="A20" i="11"/>
  <c r="A31" i="40" s="1"/>
  <c r="A19" i="11"/>
  <c r="A30" i="40" s="1"/>
  <c r="A18" i="11"/>
  <c r="A29" i="40" s="1"/>
  <c r="A17" i="11"/>
  <c r="A28" i="40" s="1"/>
  <c r="A16" i="11"/>
  <c r="A27" i="40" s="1"/>
  <c r="A15" i="11"/>
  <c r="A26" i="40" s="1"/>
  <c r="A14" i="11"/>
  <c r="A25" i="40" s="1"/>
  <c r="A13" i="11"/>
  <c r="A24" i="40" s="1"/>
  <c r="A12" i="11"/>
  <c r="A23" i="40" s="1"/>
  <c r="A11" i="11"/>
  <c r="A22" i="40" s="1"/>
  <c r="A10" i="11"/>
  <c r="A9" i="11"/>
  <c r="A8" i="11"/>
  <c r="A7" i="11"/>
  <c r="A16" i="40" s="1"/>
  <c r="A6" i="11"/>
  <c r="A15" i="40" s="1"/>
  <c r="A5" i="11"/>
  <c r="A14" i="40" s="1"/>
  <c r="A4" i="11"/>
  <c r="A3" i="11"/>
  <c r="B49" i="44" l="1"/>
  <c r="A50" i="41"/>
  <c r="A50" i="42"/>
  <c r="B49" i="22"/>
  <c r="B50" i="44"/>
  <c r="B50" i="22"/>
  <c r="A51" i="42"/>
  <c r="A51" i="41"/>
  <c r="B23" i="44"/>
  <c r="B23" i="22"/>
  <c r="B46" i="44"/>
  <c r="A47" i="42"/>
  <c r="B46" i="22"/>
  <c r="A47" i="41"/>
  <c r="B51" i="44"/>
  <c r="B51" i="22"/>
  <c r="A52" i="42"/>
  <c r="A52" i="41"/>
  <c r="H12" i="41"/>
  <c r="J12" i="44"/>
  <c r="J12" i="22"/>
  <c r="H12" i="42"/>
  <c r="B52" i="44"/>
  <c r="B52" i="22"/>
  <c r="A53" i="42"/>
  <c r="A53" i="41"/>
  <c r="B25" i="44"/>
  <c r="B25" i="22"/>
  <c r="H13" i="41"/>
  <c r="J13" i="44"/>
  <c r="H13" i="42"/>
  <c r="H22" i="42" s="1"/>
  <c r="J13" i="22"/>
  <c r="B53" i="44"/>
  <c r="A54" i="41"/>
  <c r="A54" i="42"/>
  <c r="B53" i="22"/>
  <c r="B24" i="44"/>
  <c r="B24" i="22"/>
  <c r="B26" i="44"/>
  <c r="A21" i="38"/>
  <c r="A13" i="37"/>
  <c r="A15" i="36"/>
  <c r="A14" i="39"/>
  <c r="A15" i="35"/>
  <c r="B26" i="22"/>
  <c r="C48" i="11"/>
  <c r="L11" i="44"/>
  <c r="J11" i="41"/>
  <c r="H14" i="41"/>
  <c r="J14" i="44"/>
  <c r="H14" i="42"/>
  <c r="J14" i="22"/>
  <c r="F47" i="40"/>
  <c r="F55" i="40"/>
  <c r="D49" i="11"/>
  <c r="C39" i="44"/>
  <c r="B40" i="41"/>
  <c r="B62" i="40"/>
  <c r="J15" i="44"/>
  <c r="B15" i="44" s="1"/>
  <c r="H15" i="41"/>
  <c r="J15" i="22"/>
  <c r="B15" i="22" s="1"/>
  <c r="H15" i="42"/>
  <c r="B47" i="44"/>
  <c r="A48" i="42"/>
  <c r="A48" i="41"/>
  <c r="B47" i="22"/>
  <c r="M11" i="44"/>
  <c r="L11" i="22"/>
  <c r="K11" i="41"/>
  <c r="J11" i="42"/>
  <c r="H16" i="41"/>
  <c r="A16" i="41" s="1"/>
  <c r="J16" i="44"/>
  <c r="B16" i="44" s="1"/>
  <c r="H16" i="42"/>
  <c r="A16" i="42" s="1"/>
  <c r="J16" i="22"/>
  <c r="B16" i="22" s="1"/>
  <c r="B48" i="44"/>
  <c r="A49" i="41"/>
  <c r="B48" i="22"/>
  <c r="A49" i="42"/>
  <c r="M8" i="44"/>
  <c r="B22" i="44"/>
  <c r="L8" i="22"/>
  <c r="B22" i="22"/>
  <c r="K8" i="41"/>
  <c r="J8" i="42"/>
  <c r="F45" i="40"/>
  <c r="F56" i="40"/>
  <c r="A15" i="42"/>
  <c r="C3" i="11"/>
  <c r="A14" i="41"/>
  <c r="A12" i="40"/>
  <c r="A22" i="42"/>
  <c r="A22" i="41"/>
  <c r="A21" i="40"/>
  <c r="A26" i="41"/>
  <c r="A26" i="42"/>
  <c r="A13" i="40"/>
  <c r="A23" i="41"/>
  <c r="A23" i="42"/>
  <c r="A18" i="40"/>
  <c r="A24" i="41"/>
  <c r="A24" i="42"/>
  <c r="A19" i="40"/>
  <c r="A25" i="42"/>
  <c r="A25" i="41"/>
  <c r="A39" i="41"/>
  <c r="A33" i="41"/>
  <c r="J9" i="41" s="1"/>
  <c r="A39" i="42"/>
  <c r="A33" i="42"/>
  <c r="A62" i="40"/>
  <c r="A40" i="41"/>
  <c r="A29" i="42"/>
  <c r="A40" i="42"/>
  <c r="A29" i="41"/>
  <c r="D24" i="40"/>
  <c r="B27" i="40"/>
  <c r="D32" i="40"/>
  <c r="B35" i="40"/>
  <c r="B16" i="40"/>
  <c r="D16" i="40"/>
  <c r="B22" i="40"/>
  <c r="D27" i="40"/>
  <c r="B30" i="40"/>
  <c r="D35" i="40"/>
  <c r="B14" i="40"/>
  <c r="D22" i="40"/>
  <c r="B25" i="40"/>
  <c r="D30" i="40"/>
  <c r="B33" i="40"/>
  <c r="D14" i="40"/>
  <c r="B18" i="40"/>
  <c r="D25" i="40"/>
  <c r="B28" i="40"/>
  <c r="D33" i="40"/>
  <c r="D18" i="40"/>
  <c r="B23" i="40"/>
  <c r="D28" i="40"/>
  <c r="B31" i="40"/>
  <c r="B15" i="40"/>
  <c r="D23" i="40"/>
  <c r="B26" i="40"/>
  <c r="D31" i="40"/>
  <c r="B34" i="40"/>
  <c r="D15" i="40"/>
  <c r="B19" i="40"/>
  <c r="D26" i="40"/>
  <c r="B29" i="40"/>
  <c r="D34" i="40"/>
  <c r="D19" i="40"/>
  <c r="B24" i="40"/>
  <c r="D29" i="40"/>
  <c r="B32" i="40"/>
  <c r="A17" i="38"/>
  <c r="A39" i="39"/>
  <c r="A38" i="39"/>
  <c r="A37" i="39"/>
  <c r="A36" i="39"/>
  <c r="A35" i="39"/>
  <c r="A34" i="39"/>
  <c r="A33" i="39"/>
  <c r="A32" i="39"/>
  <c r="A42" i="38"/>
  <c r="A41" i="38"/>
  <c r="A40" i="38"/>
  <c r="A39" i="38"/>
  <c r="A38" i="38"/>
  <c r="A37" i="38"/>
  <c r="A36" i="38"/>
  <c r="A35" i="38"/>
  <c r="A33" i="37"/>
  <c r="A32" i="37"/>
  <c r="A31" i="37"/>
  <c r="A30" i="37"/>
  <c r="A29" i="37"/>
  <c r="A28" i="37"/>
  <c r="A27" i="37"/>
  <c r="A26" i="37"/>
  <c r="A36" i="36"/>
  <c r="A35" i="36"/>
  <c r="A34" i="36"/>
  <c r="A33" i="36"/>
  <c r="A32" i="36"/>
  <c r="A31" i="36"/>
  <c r="A30" i="36"/>
  <c r="A29" i="36"/>
  <c r="A51" i="35"/>
  <c r="A50" i="35"/>
  <c r="A49" i="35"/>
  <c r="A48" i="35"/>
  <c r="A47" i="35"/>
  <c r="A46" i="35"/>
  <c r="A45" i="35"/>
  <c r="A44" i="35"/>
  <c r="A30" i="39"/>
  <c r="A29" i="39"/>
  <c r="A28" i="39"/>
  <c r="A27" i="39"/>
  <c r="F27" i="39"/>
  <c r="D14" i="39"/>
  <c r="B14" i="39"/>
  <c r="A33" i="38"/>
  <c r="A32" i="38"/>
  <c r="A31" i="38"/>
  <c r="A30" i="38"/>
  <c r="F30" i="38"/>
  <c r="D21" i="38"/>
  <c r="B21" i="38"/>
  <c r="F26" i="37"/>
  <c r="D13" i="37"/>
  <c r="B13" i="37"/>
  <c r="F15" i="36"/>
  <c r="D29" i="36"/>
  <c r="B24" i="36"/>
  <c r="B39" i="35"/>
  <c r="D39" i="35"/>
  <c r="F35" i="35"/>
  <c r="A24" i="37"/>
  <c r="A23" i="37"/>
  <c r="A22" i="37"/>
  <c r="A21" i="37"/>
  <c r="A27" i="36"/>
  <c r="A26" i="36"/>
  <c r="A25" i="36"/>
  <c r="A24" i="36"/>
  <c r="F33" i="35"/>
  <c r="D33" i="35"/>
  <c r="B33" i="35"/>
  <c r="A33" i="35"/>
  <c r="F32" i="35"/>
  <c r="D32" i="35"/>
  <c r="B32" i="35"/>
  <c r="A32" i="35"/>
  <c r="F31" i="35"/>
  <c r="D31" i="35"/>
  <c r="B31" i="35"/>
  <c r="A31" i="35"/>
  <c r="F30" i="35"/>
  <c r="D30" i="35"/>
  <c r="B30" i="35"/>
  <c r="A30" i="35"/>
  <c r="F29" i="35"/>
  <c r="D29" i="35"/>
  <c r="B29" i="35"/>
  <c r="A29" i="35"/>
  <c r="F28" i="35"/>
  <c r="D28" i="35"/>
  <c r="B28" i="35"/>
  <c r="A28" i="35"/>
  <c r="F27" i="35"/>
  <c r="D27" i="35"/>
  <c r="B27" i="35"/>
  <c r="A27" i="35"/>
  <c r="F26" i="35"/>
  <c r="D26" i="35"/>
  <c r="B26" i="35"/>
  <c r="A26" i="35"/>
  <c r="F25" i="35"/>
  <c r="D25" i="35"/>
  <c r="B25" i="35"/>
  <c r="A25" i="35"/>
  <c r="F24" i="35"/>
  <c r="D24" i="35"/>
  <c r="B24" i="35"/>
  <c r="A24" i="35"/>
  <c r="F23" i="35"/>
  <c r="D23" i="35"/>
  <c r="B23" i="35"/>
  <c r="A23" i="35"/>
  <c r="A18" i="35"/>
  <c r="A17" i="35"/>
  <c r="A16" i="35"/>
  <c r="A42" i="35"/>
  <c r="A41" i="35"/>
  <c r="A40" i="35"/>
  <c r="A39" i="35"/>
  <c r="B115" i="11"/>
  <c r="C115" i="11" s="1"/>
  <c r="D115" i="11" s="1"/>
  <c r="E115" i="11" s="1"/>
  <c r="F24" i="38" s="1"/>
  <c r="B114" i="11"/>
  <c r="C114" i="11" s="1"/>
  <c r="D114" i="11" s="1"/>
  <c r="E114" i="11" s="1"/>
  <c r="F23" i="38" s="1"/>
  <c r="B113" i="11"/>
  <c r="C113" i="11" s="1"/>
  <c r="D113" i="11" s="1"/>
  <c r="E113" i="11" s="1"/>
  <c r="F22" i="38" s="1"/>
  <c r="F23" i="41" l="1"/>
  <c r="D23" i="41"/>
  <c r="B23" i="41"/>
  <c r="A13" i="42"/>
  <c r="E49" i="11"/>
  <c r="E39" i="44"/>
  <c r="D40" i="41"/>
  <c r="D62" i="40"/>
  <c r="D48" i="11"/>
  <c r="B61" i="40"/>
  <c r="J22" i="44"/>
  <c r="B13" i="44"/>
  <c r="B13" i="22"/>
  <c r="J22" i="22"/>
  <c r="B19" i="22"/>
  <c r="B12" i="22"/>
  <c r="G64" i="22"/>
  <c r="E58" i="22"/>
  <c r="B64" i="22"/>
  <c r="G26" i="22"/>
  <c r="B56" i="22"/>
  <c r="B62" i="22"/>
  <c r="J26" i="22"/>
  <c r="C64" i="22"/>
  <c r="C27" i="22"/>
  <c r="G27" i="22"/>
  <c r="E62" i="22"/>
  <c r="C58" i="22"/>
  <c r="G60" i="22"/>
  <c r="E60" i="22"/>
  <c r="C60" i="22"/>
  <c r="E64" i="22"/>
  <c r="B55" i="22"/>
  <c r="G56" i="22"/>
  <c r="G62" i="22"/>
  <c r="B60" i="22"/>
  <c r="E26" i="22"/>
  <c r="C62" i="22"/>
  <c r="E27" i="22"/>
  <c r="B58" i="22"/>
  <c r="J27" i="22"/>
  <c r="E56" i="22"/>
  <c r="C26" i="22"/>
  <c r="C56" i="22"/>
  <c r="G58" i="22"/>
  <c r="B14" i="22"/>
  <c r="J23" i="22"/>
  <c r="J25" i="22"/>
  <c r="C25" i="22"/>
  <c r="G24" i="22"/>
  <c r="G23" i="22"/>
  <c r="J24" i="22"/>
  <c r="C24" i="22"/>
  <c r="G25" i="22"/>
  <c r="E23" i="22"/>
  <c r="C23" i="22"/>
  <c r="E24" i="22"/>
  <c r="E25" i="22"/>
  <c r="B19" i="44"/>
  <c r="B12" i="44"/>
  <c r="B56" i="44"/>
  <c r="G27" i="44"/>
  <c r="B64" i="44"/>
  <c r="C62" i="44"/>
  <c r="B60" i="44"/>
  <c r="E64" i="44"/>
  <c r="J27" i="44"/>
  <c r="G64" i="44"/>
  <c r="E58" i="44"/>
  <c r="E62" i="44"/>
  <c r="C58" i="44"/>
  <c r="C64" i="44"/>
  <c r="C56" i="44"/>
  <c r="G56" i="44"/>
  <c r="C27" i="44"/>
  <c r="G58" i="44"/>
  <c r="B55" i="44"/>
  <c r="C60" i="44"/>
  <c r="E60" i="44"/>
  <c r="G62" i="44"/>
  <c r="G60" i="44"/>
  <c r="E27" i="44"/>
  <c r="E56" i="44"/>
  <c r="B62" i="44"/>
  <c r="B58" i="44"/>
  <c r="D25" i="42"/>
  <c r="F23" i="42"/>
  <c r="D23" i="42"/>
  <c r="D24" i="42"/>
  <c r="H25" i="42"/>
  <c r="F25" i="42"/>
  <c r="F24" i="42"/>
  <c r="B25" i="42"/>
  <c r="H24" i="42"/>
  <c r="B24" i="42"/>
  <c r="B23" i="42"/>
  <c r="H23" i="42"/>
  <c r="D3" i="11"/>
  <c r="N11" i="44"/>
  <c r="L11" i="41"/>
  <c r="K11" i="42"/>
  <c r="M11" i="22"/>
  <c r="A14" i="42"/>
  <c r="B14" i="44"/>
  <c r="J25" i="44"/>
  <c r="J24" i="44"/>
  <c r="G25" i="44"/>
  <c r="E25" i="44"/>
  <c r="E24" i="44"/>
  <c r="C24" i="44"/>
  <c r="G24" i="44"/>
  <c r="C25" i="44"/>
  <c r="B25" i="41"/>
  <c r="F24" i="41"/>
  <c r="D24" i="41"/>
  <c r="B24" i="41"/>
  <c r="H23" i="41"/>
  <c r="H25" i="41"/>
  <c r="F25" i="41"/>
  <c r="H24" i="41"/>
  <c r="D25" i="41"/>
  <c r="A12" i="41"/>
  <c r="A19" i="41"/>
  <c r="B12" i="40"/>
  <c r="A12" i="42"/>
  <c r="A19" i="42"/>
  <c r="A15" i="41"/>
  <c r="A13" i="41"/>
  <c r="E3" i="11"/>
  <c r="F13" i="37"/>
  <c r="B15" i="36"/>
  <c r="F29" i="36"/>
  <c r="F21" i="37"/>
  <c r="D21" i="37"/>
  <c r="B32" i="39"/>
  <c r="F17" i="37"/>
  <c r="B29" i="36"/>
  <c r="B35" i="38"/>
  <c r="D32" i="39"/>
  <c r="D26" i="37"/>
  <c r="F35" i="38"/>
  <c r="F22" i="35"/>
  <c r="B26" i="37"/>
  <c r="D35" i="38"/>
  <c r="F32" i="39"/>
  <c r="B44" i="35"/>
  <c r="D44" i="35"/>
  <c r="F44" i="35"/>
  <c r="B53" i="35"/>
  <c r="D53" i="35"/>
  <c r="F53" i="35"/>
  <c r="D24" i="36"/>
  <c r="D15" i="36"/>
  <c r="D20" i="36"/>
  <c r="F39" i="35"/>
  <c r="D17" i="37"/>
  <c r="D22" i="35"/>
  <c r="F24" i="36"/>
  <c r="B17" i="37"/>
  <c r="B21" i="37"/>
  <c r="D35" i="35"/>
  <c r="F20" i="36"/>
  <c r="D15" i="35"/>
  <c r="B27" i="39"/>
  <c r="B20" i="36"/>
  <c r="D22" i="38"/>
  <c r="D24" i="38"/>
  <c r="B23" i="38"/>
  <c r="D23" i="38"/>
  <c r="B22" i="38"/>
  <c r="B24" i="38"/>
  <c r="B23" i="39"/>
  <c r="D27" i="39"/>
  <c r="D23" i="39"/>
  <c r="F14" i="39"/>
  <c r="F23" i="39"/>
  <c r="B26" i="38"/>
  <c r="D30" i="38"/>
  <c r="D26" i="38"/>
  <c r="B30" i="38"/>
  <c r="F21" i="38"/>
  <c r="F26" i="38"/>
  <c r="B15" i="35"/>
  <c r="B22" i="35"/>
  <c r="F15" i="35"/>
  <c r="B35" i="35"/>
  <c r="B133" i="11"/>
  <c r="B132" i="11"/>
  <c r="B131" i="11"/>
  <c r="C131" i="11" s="1"/>
  <c r="A131" i="11"/>
  <c r="A21" i="39" s="1"/>
  <c r="B130" i="11"/>
  <c r="C130" i="11" s="1"/>
  <c r="A130" i="11"/>
  <c r="A20" i="39" s="1"/>
  <c r="B129" i="11"/>
  <c r="C129" i="11" s="1"/>
  <c r="A129" i="11"/>
  <c r="A19" i="39" s="1"/>
  <c r="B128" i="11"/>
  <c r="C128" i="11" s="1"/>
  <c r="A128" i="11"/>
  <c r="A18" i="39" s="1"/>
  <c r="B127" i="11"/>
  <c r="C127" i="11" s="1"/>
  <c r="B126" i="11"/>
  <c r="C126" i="11" s="1"/>
  <c r="B125" i="11"/>
  <c r="C125" i="11" s="1"/>
  <c r="B108" i="11"/>
  <c r="C108" i="11" s="1"/>
  <c r="A133" i="11"/>
  <c r="A25" i="39" s="1"/>
  <c r="A132" i="11"/>
  <c r="A24" i="39" s="1"/>
  <c r="A119" i="1"/>
  <c r="A127" i="11" s="1"/>
  <c r="A17" i="39" s="1"/>
  <c r="A118" i="1"/>
  <c r="A117" i="1"/>
  <c r="A125" i="11" s="1"/>
  <c r="A15" i="39" s="1"/>
  <c r="B123" i="11"/>
  <c r="C123" i="11" s="1"/>
  <c r="B122" i="11"/>
  <c r="A123" i="11"/>
  <c r="A12" i="39" s="1"/>
  <c r="E114" i="1"/>
  <c r="D114" i="1"/>
  <c r="C114" i="1"/>
  <c r="A122" i="11"/>
  <c r="A11" i="39" s="1"/>
  <c r="B117" i="11"/>
  <c r="B116" i="11"/>
  <c r="B107" i="11"/>
  <c r="A28" i="38"/>
  <c r="A27" i="38"/>
  <c r="A109" i="1"/>
  <c r="A108" i="1"/>
  <c r="A107" i="1"/>
  <c r="B111" i="11"/>
  <c r="C111" i="11" s="1"/>
  <c r="B110" i="11"/>
  <c r="C110" i="11" s="1"/>
  <c r="E101" i="1"/>
  <c r="D101" i="1"/>
  <c r="C101" i="1"/>
  <c r="A14" i="38"/>
  <c r="B102" i="11"/>
  <c r="B101" i="11"/>
  <c r="B100" i="11"/>
  <c r="C100" i="11" s="1"/>
  <c r="C26" i="44" s="1"/>
  <c r="B99" i="11"/>
  <c r="C99" i="11" s="1"/>
  <c r="A138" i="11"/>
  <c r="A139" i="11"/>
  <c r="B139" i="11"/>
  <c r="C139" i="11" s="1"/>
  <c r="A140" i="11"/>
  <c r="B140" i="11"/>
  <c r="C140" i="11" s="1"/>
  <c r="A141" i="11"/>
  <c r="B141" i="11"/>
  <c r="C141" i="11" s="1"/>
  <c r="A14" i="37"/>
  <c r="A15" i="37"/>
  <c r="A18" i="37"/>
  <c r="A19" i="37"/>
  <c r="B97" i="11"/>
  <c r="C97" i="11" s="1"/>
  <c r="C23" i="44" s="1"/>
  <c r="E92" i="1"/>
  <c r="D92" i="1"/>
  <c r="C92" i="1"/>
  <c r="C96" i="11" s="1"/>
  <c r="E28" i="22" l="1"/>
  <c r="E33" i="22" s="1"/>
  <c r="G28" i="22"/>
  <c r="G33" i="22" s="1"/>
  <c r="J28" i="22"/>
  <c r="J29" i="22" s="1"/>
  <c r="J30" i="22" s="1"/>
  <c r="A57" i="41"/>
  <c r="A57" i="42"/>
  <c r="A56" i="42"/>
  <c r="A56" i="41"/>
  <c r="M15" i="44"/>
  <c r="K15" i="41"/>
  <c r="L15" i="22"/>
  <c r="J15" i="42"/>
  <c r="M16" i="44"/>
  <c r="L16" i="22"/>
  <c r="K16" i="41"/>
  <c r="J16" i="42"/>
  <c r="C116" i="11"/>
  <c r="L15" i="44"/>
  <c r="J15" i="41"/>
  <c r="N14" i="44"/>
  <c r="C22" i="44" s="1"/>
  <c r="C28" i="44" s="1"/>
  <c r="K14" i="42"/>
  <c r="M14" i="22"/>
  <c r="L14" i="41"/>
  <c r="B22" i="41" s="1"/>
  <c r="C28" i="22"/>
  <c r="C33" i="22" s="1"/>
  <c r="E48" i="11"/>
  <c r="F61" i="40" s="1"/>
  <c r="D61" i="40"/>
  <c r="C132" i="11"/>
  <c r="D132" i="11" s="1"/>
  <c r="L16" i="44"/>
  <c r="J16" i="41"/>
  <c r="A61" i="41"/>
  <c r="A59" i="42"/>
  <c r="D12" i="40"/>
  <c r="O11" i="44"/>
  <c r="M11" i="41"/>
  <c r="N11" i="22"/>
  <c r="L11" i="42"/>
  <c r="J26" i="44"/>
  <c r="A59" i="41"/>
  <c r="A58" i="42"/>
  <c r="J23" i="44"/>
  <c r="P11" i="44"/>
  <c r="O11" i="22"/>
  <c r="N11" i="41"/>
  <c r="M11" i="42"/>
  <c r="G39" i="44"/>
  <c r="F40" i="41"/>
  <c r="F62" i="40"/>
  <c r="C101" i="11"/>
  <c r="L14" i="44"/>
  <c r="J14" i="41"/>
  <c r="A114" i="11"/>
  <c r="A23" i="38" s="1"/>
  <c r="A115" i="11"/>
  <c r="A24" i="38" s="1"/>
  <c r="A113" i="11"/>
  <c r="A22" i="38" s="1"/>
  <c r="B79" i="40"/>
  <c r="B10" i="37"/>
  <c r="B81" i="40"/>
  <c r="B80" i="40"/>
  <c r="F12" i="40"/>
  <c r="A80" i="40"/>
  <c r="A79" i="40"/>
  <c r="A81" i="40"/>
  <c r="A78" i="40"/>
  <c r="A56" i="35"/>
  <c r="A54" i="35"/>
  <c r="A53" i="35"/>
  <c r="A55" i="35"/>
  <c r="D140" i="11"/>
  <c r="B55" i="35"/>
  <c r="D141" i="11"/>
  <c r="B56" i="35"/>
  <c r="D139" i="11"/>
  <c r="B54" i="35"/>
  <c r="D130" i="11"/>
  <c r="B20" i="39"/>
  <c r="D99" i="11"/>
  <c r="B14" i="37"/>
  <c r="D111" i="11"/>
  <c r="B19" i="38"/>
  <c r="D123" i="11"/>
  <c r="B12" i="39"/>
  <c r="D127" i="11"/>
  <c r="B17" i="39"/>
  <c r="D129" i="11"/>
  <c r="B19" i="39"/>
  <c r="D131" i="11"/>
  <c r="B21" i="39"/>
  <c r="B24" i="39"/>
  <c r="D116" i="11"/>
  <c r="B27" i="38"/>
  <c r="D125" i="11"/>
  <c r="B15" i="39"/>
  <c r="D128" i="11"/>
  <c r="B18" i="39"/>
  <c r="D126" i="11"/>
  <c r="B16" i="39"/>
  <c r="D97" i="11"/>
  <c r="E23" i="44" s="1"/>
  <c r="B11" i="37"/>
  <c r="D100" i="11"/>
  <c r="E26" i="44" s="1"/>
  <c r="B15" i="37"/>
  <c r="D101" i="11"/>
  <c r="B18" i="37"/>
  <c r="D110" i="11"/>
  <c r="B18" i="38"/>
  <c r="D108" i="11"/>
  <c r="B15" i="38"/>
  <c r="A126" i="11"/>
  <c r="A16" i="39" s="1"/>
  <c r="C133" i="11"/>
  <c r="C122" i="11"/>
  <c r="C117" i="11"/>
  <c r="C102" i="11"/>
  <c r="C107" i="11"/>
  <c r="D96" i="11"/>
  <c r="A91" i="11"/>
  <c r="A22" i="36" s="1"/>
  <c r="A87" i="1"/>
  <c r="A89" i="11" s="1"/>
  <c r="A18" i="36" s="1"/>
  <c r="A77" i="11"/>
  <c r="A37" i="35" s="1"/>
  <c r="A76" i="11"/>
  <c r="A36" i="35" s="1"/>
  <c r="B77" i="11"/>
  <c r="B76" i="11"/>
  <c r="B91" i="11"/>
  <c r="B90" i="11"/>
  <c r="A90" i="11"/>
  <c r="A21" i="36" s="1"/>
  <c r="B87" i="1"/>
  <c r="B86" i="1"/>
  <c r="B85" i="1"/>
  <c r="A86" i="1"/>
  <c r="A88" i="11" s="1"/>
  <c r="A17" i="36" s="1"/>
  <c r="A85" i="1"/>
  <c r="A87" i="11" s="1"/>
  <c r="A16" i="36" s="1"/>
  <c r="B83" i="11"/>
  <c r="C83" i="11" s="1"/>
  <c r="B85" i="11"/>
  <c r="C85" i="11" s="1"/>
  <c r="B84" i="11"/>
  <c r="C84" i="11" s="1"/>
  <c r="B57" i="11"/>
  <c r="C57" i="11" s="1"/>
  <c r="B56" i="11"/>
  <c r="C56" i="11" s="1"/>
  <c r="A13" i="35"/>
  <c r="A12" i="35"/>
  <c r="A11" i="35"/>
  <c r="B82" i="11"/>
  <c r="A82" i="11"/>
  <c r="A10" i="36" s="1"/>
  <c r="A10" i="35"/>
  <c r="E80" i="1"/>
  <c r="D80" i="1"/>
  <c r="C80" i="1"/>
  <c r="A22" i="35"/>
  <c r="A21" i="35"/>
  <c r="A20" i="35"/>
  <c r="B55" i="11"/>
  <c r="C55" i="11" s="1"/>
  <c r="B61" i="11"/>
  <c r="C61" i="11" s="1"/>
  <c r="B60" i="11"/>
  <c r="C60" i="11" s="1"/>
  <c r="B59" i="11"/>
  <c r="C59" i="11" s="1"/>
  <c r="B54" i="11"/>
  <c r="E54" i="1"/>
  <c r="D54" i="1"/>
  <c r="C54" i="1"/>
  <c r="C141" i="1"/>
  <c r="C140" i="1"/>
  <c r="C138" i="1"/>
  <c r="C137" i="1"/>
  <c r="C146" i="11"/>
  <c r="B143" i="11"/>
  <c r="C143" i="11" s="1"/>
  <c r="A143" i="11"/>
  <c r="B142" i="11"/>
  <c r="C142" i="11" s="1"/>
  <c r="A142" i="11"/>
  <c r="G29" i="22" l="1"/>
  <c r="G30" i="22" s="1"/>
  <c r="G34" i="22" s="1"/>
  <c r="C49" i="22"/>
  <c r="B50" i="42"/>
  <c r="B51" i="42"/>
  <c r="C50" i="22"/>
  <c r="D140" i="1"/>
  <c r="C52" i="22"/>
  <c r="B53" i="42"/>
  <c r="E29" i="22"/>
  <c r="E30" i="22" s="1"/>
  <c r="E34" i="22" s="1"/>
  <c r="D141" i="1"/>
  <c r="B54" i="42"/>
  <c r="C53" i="22"/>
  <c r="J28" i="44"/>
  <c r="J31" i="44" s="1"/>
  <c r="M12" i="44"/>
  <c r="L12" i="22"/>
  <c r="K12" i="41"/>
  <c r="J12" i="42"/>
  <c r="N16" i="44"/>
  <c r="M16" i="22"/>
  <c r="L16" i="41"/>
  <c r="K16" i="42"/>
  <c r="C29" i="44"/>
  <c r="C30" i="44" s="1"/>
  <c r="C48" i="44"/>
  <c r="B49" i="41"/>
  <c r="C38" i="44"/>
  <c r="C33" i="44" s="1"/>
  <c r="E38" i="44"/>
  <c r="G38" i="44"/>
  <c r="O14" i="44"/>
  <c r="E22" i="44" s="1"/>
  <c r="E28" i="44" s="1"/>
  <c r="N14" i="22"/>
  <c r="M14" i="41"/>
  <c r="D22" i="41" s="1"/>
  <c r="L14" i="42"/>
  <c r="M13" i="44"/>
  <c r="L13" i="22"/>
  <c r="K13" i="41"/>
  <c r="J13" i="42"/>
  <c r="A63" i="41"/>
  <c r="A60" i="42"/>
  <c r="C90" i="11"/>
  <c r="D90" i="11" s="1"/>
  <c r="L13" i="44"/>
  <c r="J13" i="41"/>
  <c r="N15" i="44"/>
  <c r="M15" i="22"/>
  <c r="L15" i="41"/>
  <c r="K15" i="42"/>
  <c r="A61" i="42"/>
  <c r="A65" i="41"/>
  <c r="C76" i="11"/>
  <c r="L12" i="44"/>
  <c r="J12" i="41"/>
  <c r="C29" i="22"/>
  <c r="C30" i="22" s="1"/>
  <c r="B39" i="41"/>
  <c r="F39" i="41"/>
  <c r="D39" i="41"/>
  <c r="D79" i="40"/>
  <c r="B83" i="40"/>
  <c r="D80" i="40"/>
  <c r="B82" i="40"/>
  <c r="D81" i="40"/>
  <c r="A82" i="40"/>
  <c r="A83" i="40"/>
  <c r="A57" i="35"/>
  <c r="D142" i="11"/>
  <c r="B57" i="35"/>
  <c r="E139" i="11"/>
  <c r="D54" i="35"/>
  <c r="A58" i="35"/>
  <c r="E141" i="11"/>
  <c r="D56" i="35"/>
  <c r="D146" i="11"/>
  <c r="B46" i="35"/>
  <c r="B34" i="39"/>
  <c r="B28" i="37"/>
  <c r="B31" i="36"/>
  <c r="B37" i="38"/>
  <c r="D143" i="11"/>
  <c r="B58" i="35"/>
  <c r="E140" i="11"/>
  <c r="D55" i="35"/>
  <c r="D60" i="11"/>
  <c r="B17" i="35"/>
  <c r="D57" i="11"/>
  <c r="B13" i="35"/>
  <c r="D107" i="11"/>
  <c r="B14" i="38"/>
  <c r="D133" i="11"/>
  <c r="B25" i="39"/>
  <c r="A10" i="37"/>
  <c r="D61" i="11"/>
  <c r="B18" i="35"/>
  <c r="D84" i="11"/>
  <c r="B12" i="36"/>
  <c r="D76" i="11"/>
  <c r="B36" i="35"/>
  <c r="D102" i="11"/>
  <c r="B19" i="37"/>
  <c r="E110" i="11"/>
  <c r="F18" i="38" s="1"/>
  <c r="D18" i="38"/>
  <c r="E97" i="11"/>
  <c r="D11" i="37"/>
  <c r="E128" i="11"/>
  <c r="F18" i="39" s="1"/>
  <c r="D18" i="39"/>
  <c r="E116" i="11"/>
  <c r="F27" i="38" s="1"/>
  <c r="D27" i="38"/>
  <c r="E131" i="11"/>
  <c r="F21" i="39" s="1"/>
  <c r="D21" i="39"/>
  <c r="E127" i="11"/>
  <c r="F17" i="39" s="1"/>
  <c r="D17" i="39"/>
  <c r="E111" i="11"/>
  <c r="F19" i="38" s="1"/>
  <c r="D19" i="38"/>
  <c r="D55" i="11"/>
  <c r="B11" i="35"/>
  <c r="D85" i="11"/>
  <c r="B13" i="36"/>
  <c r="D117" i="11"/>
  <c r="B28" i="38"/>
  <c r="D59" i="11"/>
  <c r="B16" i="35"/>
  <c r="D56" i="11"/>
  <c r="B12" i="35"/>
  <c r="D83" i="11"/>
  <c r="B11" i="36"/>
  <c r="E96" i="11"/>
  <c r="D10" i="37"/>
  <c r="D122" i="11"/>
  <c r="B11" i="39"/>
  <c r="E108" i="11"/>
  <c r="F15" i="38" s="1"/>
  <c r="D15" i="38"/>
  <c r="E101" i="11"/>
  <c r="F18" i="37" s="1"/>
  <c r="D18" i="37"/>
  <c r="E100" i="11"/>
  <c r="D15" i="37"/>
  <c r="E126" i="11"/>
  <c r="F16" i="39" s="1"/>
  <c r="D16" i="39"/>
  <c r="E125" i="11"/>
  <c r="F15" i="39" s="1"/>
  <c r="D15" i="39"/>
  <c r="E132" i="11"/>
  <c r="F24" i="39" s="1"/>
  <c r="D24" i="39"/>
  <c r="E129" i="11"/>
  <c r="F19" i="39" s="1"/>
  <c r="D19" i="39"/>
  <c r="E123" i="11"/>
  <c r="F12" i="39" s="1"/>
  <c r="D12" i="39"/>
  <c r="E99" i="11"/>
  <c r="F14" i="37" s="1"/>
  <c r="D14" i="37"/>
  <c r="E130" i="11"/>
  <c r="F20" i="39" s="1"/>
  <c r="D20" i="39"/>
  <c r="C54" i="11"/>
  <c r="A15" i="38"/>
  <c r="B88" i="11"/>
  <c r="C88" i="11" s="1"/>
  <c r="B89" i="11"/>
  <c r="C89" i="11" s="1"/>
  <c r="B87" i="11"/>
  <c r="C87" i="11" s="1"/>
  <c r="A11" i="36"/>
  <c r="A11" i="37"/>
  <c r="C91" i="11"/>
  <c r="C77" i="11"/>
  <c r="C82" i="11"/>
  <c r="C151" i="11"/>
  <c r="D137" i="1"/>
  <c r="C150" i="11"/>
  <c r="E140" i="1"/>
  <c r="C148" i="11"/>
  <c r="D138" i="1"/>
  <c r="C147" i="11"/>
  <c r="C34" i="22" l="1"/>
  <c r="C35" i="22"/>
  <c r="E35" i="22"/>
  <c r="C34" i="44"/>
  <c r="C35" i="44" s="1"/>
  <c r="J29" i="44"/>
  <c r="J30" i="44" s="1"/>
  <c r="E138" i="1"/>
  <c r="E50" i="22"/>
  <c r="D51" i="42"/>
  <c r="D53" i="42"/>
  <c r="E52" i="22"/>
  <c r="G52" i="22"/>
  <c r="F53" i="42"/>
  <c r="E137" i="1"/>
  <c r="D50" i="42"/>
  <c r="E49" i="22"/>
  <c r="E141" i="1"/>
  <c r="D54" i="42"/>
  <c r="E53" i="22"/>
  <c r="B21" i="36"/>
  <c r="F11" i="37"/>
  <c r="G23" i="44"/>
  <c r="B75" i="40"/>
  <c r="C52" i="44"/>
  <c r="B53" i="41"/>
  <c r="O16" i="44"/>
  <c r="L16" i="42"/>
  <c r="N16" i="22"/>
  <c r="M16" i="41"/>
  <c r="B73" i="40"/>
  <c r="B51" i="41"/>
  <c r="C50" i="44"/>
  <c r="B76" i="40"/>
  <c r="B54" i="41"/>
  <c r="C53" i="44"/>
  <c r="N13" i="44"/>
  <c r="M13" i="22"/>
  <c r="K13" i="42"/>
  <c r="L13" i="41"/>
  <c r="D71" i="40"/>
  <c r="E48" i="44"/>
  <c r="D49" i="41"/>
  <c r="B72" i="40"/>
  <c r="B50" i="41"/>
  <c r="C49" i="44"/>
  <c r="N12" i="44"/>
  <c r="M12" i="22"/>
  <c r="L12" i="41"/>
  <c r="K12" i="42"/>
  <c r="F15" i="37"/>
  <c r="G26" i="44"/>
  <c r="P14" i="44"/>
  <c r="G22" i="44" s="1"/>
  <c r="O14" i="22"/>
  <c r="N14" i="41"/>
  <c r="F22" i="41" s="1"/>
  <c r="M14" i="42"/>
  <c r="O15" i="44"/>
  <c r="N15" i="22"/>
  <c r="M15" i="41"/>
  <c r="L15" i="42"/>
  <c r="E33" i="44"/>
  <c r="E29" i="44"/>
  <c r="E30" i="44" s="1"/>
  <c r="H22" i="41"/>
  <c r="F61" i="42"/>
  <c r="B59" i="42"/>
  <c r="D56" i="42"/>
  <c r="B57" i="42"/>
  <c r="D61" i="42"/>
  <c r="F58" i="42"/>
  <c r="B56" i="42"/>
  <c r="B61" i="42"/>
  <c r="D58" i="42"/>
  <c r="F60" i="42"/>
  <c r="B58" i="42"/>
  <c r="D60" i="42"/>
  <c r="F57" i="42"/>
  <c r="B60" i="42"/>
  <c r="D57" i="42"/>
  <c r="F59" i="42"/>
  <c r="D59" i="42"/>
  <c r="F56" i="42"/>
  <c r="F65" i="41"/>
  <c r="F61" i="41"/>
  <c r="F57" i="41"/>
  <c r="D65" i="41"/>
  <c r="D61" i="41"/>
  <c r="D57" i="41"/>
  <c r="B65" i="41"/>
  <c r="B61" i="41"/>
  <c r="B57" i="41"/>
  <c r="F63" i="41"/>
  <c r="F59" i="41"/>
  <c r="F56" i="41"/>
  <c r="D63" i="41"/>
  <c r="D59" i="41"/>
  <c r="D56" i="41"/>
  <c r="B63" i="41"/>
  <c r="B59" i="41"/>
  <c r="B56" i="41"/>
  <c r="H26" i="41"/>
  <c r="F27" i="41"/>
  <c r="B27" i="41"/>
  <c r="F26" i="41"/>
  <c r="D26" i="41"/>
  <c r="B26" i="41"/>
  <c r="H27" i="41"/>
  <c r="D27" i="41"/>
  <c r="A18" i="42"/>
  <c r="D26" i="42"/>
  <c r="F26" i="42"/>
  <c r="B26" i="42"/>
  <c r="H27" i="42"/>
  <c r="D27" i="42"/>
  <c r="B27" i="42"/>
  <c r="F27" i="42"/>
  <c r="H26" i="42"/>
  <c r="A18" i="41"/>
  <c r="A11" i="42"/>
  <c r="F79" i="40"/>
  <c r="F80" i="40"/>
  <c r="A11" i="41"/>
  <c r="D82" i="40"/>
  <c r="D83" i="40"/>
  <c r="F81" i="40"/>
  <c r="F10" i="37"/>
  <c r="F54" i="35"/>
  <c r="D150" i="11"/>
  <c r="B38" i="39"/>
  <c r="B35" i="36"/>
  <c r="B41" i="38"/>
  <c r="B32" i="37"/>
  <c r="B50" i="35"/>
  <c r="F55" i="35"/>
  <c r="E143" i="11"/>
  <c r="D58" i="35"/>
  <c r="B47" i="35"/>
  <c r="B38" i="38"/>
  <c r="B29" i="37"/>
  <c r="B32" i="36"/>
  <c r="B35" i="39"/>
  <c r="E146" i="11"/>
  <c r="D31" i="36"/>
  <c r="D34" i="39"/>
  <c r="D37" i="38"/>
  <c r="D28" i="37"/>
  <c r="D46" i="35"/>
  <c r="B36" i="39"/>
  <c r="B48" i="35"/>
  <c r="B39" i="38"/>
  <c r="B30" i="37"/>
  <c r="B33" i="36"/>
  <c r="D151" i="11"/>
  <c r="B36" i="36"/>
  <c r="B39" i="39"/>
  <c r="B42" i="38"/>
  <c r="B33" i="37"/>
  <c r="B51" i="35"/>
  <c r="F56" i="35"/>
  <c r="E142" i="11"/>
  <c r="D57" i="35"/>
  <c r="D82" i="11"/>
  <c r="B10" i="36"/>
  <c r="D87" i="11"/>
  <c r="B16" i="36"/>
  <c r="E59" i="11"/>
  <c r="F16" i="35" s="1"/>
  <c r="D16" i="35"/>
  <c r="E117" i="11"/>
  <c r="F28" i="38" s="1"/>
  <c r="D28" i="38"/>
  <c r="E55" i="11"/>
  <c r="F11" i="35" s="1"/>
  <c r="D11" i="35"/>
  <c r="E76" i="11"/>
  <c r="F36" i="35" s="1"/>
  <c r="D36" i="35"/>
  <c r="E61" i="11"/>
  <c r="F18" i="35" s="1"/>
  <c r="D18" i="35"/>
  <c r="E107" i="11"/>
  <c r="D14" i="38"/>
  <c r="E60" i="11"/>
  <c r="F17" i="35" s="1"/>
  <c r="D17" i="35"/>
  <c r="D77" i="11"/>
  <c r="B37" i="35"/>
  <c r="D54" i="11"/>
  <c r="B10" i="35"/>
  <c r="E83" i="11"/>
  <c r="F11" i="36" s="1"/>
  <c r="D11" i="36"/>
  <c r="D91" i="11"/>
  <c r="B22" i="36"/>
  <c r="D89" i="11"/>
  <c r="B18" i="36"/>
  <c r="D88" i="11"/>
  <c r="B17" i="36"/>
  <c r="E122" i="11"/>
  <c r="D11" i="39"/>
  <c r="E90" i="11"/>
  <c r="F21" i="36" s="1"/>
  <c r="D21" i="36"/>
  <c r="E56" i="11"/>
  <c r="F12" i="35" s="1"/>
  <c r="D12" i="35"/>
  <c r="E85" i="11"/>
  <c r="F13" i="36" s="1"/>
  <c r="D13" i="36"/>
  <c r="E102" i="11"/>
  <c r="F19" i="37" s="1"/>
  <c r="D19" i="37"/>
  <c r="E84" i="11"/>
  <c r="F12" i="36" s="1"/>
  <c r="D12" i="36"/>
  <c r="E133" i="11"/>
  <c r="F25" i="39" s="1"/>
  <c r="D25" i="39"/>
  <c r="E57" i="11"/>
  <c r="F13" i="35" s="1"/>
  <c r="D13" i="35"/>
  <c r="D147" i="11"/>
  <c r="D148" i="11"/>
  <c r="E34" i="44" l="1"/>
  <c r="E35" i="44" s="1"/>
  <c r="J32" i="44"/>
  <c r="J33" i="44" s="1"/>
  <c r="G53" i="22"/>
  <c r="F54" i="42"/>
  <c r="F50" i="42"/>
  <c r="G49" i="22"/>
  <c r="F51" i="42"/>
  <c r="G50" i="22"/>
  <c r="O13" i="44"/>
  <c r="N13" i="22"/>
  <c r="M13" i="41"/>
  <c r="L13" i="42"/>
  <c r="D73" i="40"/>
  <c r="E50" i="44"/>
  <c r="D51" i="41"/>
  <c r="D76" i="40"/>
  <c r="D54" i="41"/>
  <c r="E53" i="44"/>
  <c r="P15" i="44"/>
  <c r="M15" i="42"/>
  <c r="N15" i="41"/>
  <c r="O15" i="22"/>
  <c r="P16" i="44"/>
  <c r="M16" i="42"/>
  <c r="O16" i="22"/>
  <c r="N16" i="41"/>
  <c r="E52" i="44"/>
  <c r="D53" i="41"/>
  <c r="D72" i="40"/>
  <c r="E49" i="44"/>
  <c r="D50" i="41"/>
  <c r="O12" i="44"/>
  <c r="N12" i="22"/>
  <c r="M12" i="41"/>
  <c r="L12" i="42"/>
  <c r="F71" i="40"/>
  <c r="F49" i="41"/>
  <c r="G48" i="44"/>
  <c r="G28" i="44"/>
  <c r="F28" i="42"/>
  <c r="F35" i="42" s="1"/>
  <c r="D28" i="41"/>
  <c r="F28" i="41"/>
  <c r="B28" i="41"/>
  <c r="H28" i="41"/>
  <c r="H29" i="41" s="1"/>
  <c r="D28" i="42"/>
  <c r="H28" i="42"/>
  <c r="B28" i="42"/>
  <c r="F11" i="39"/>
  <c r="F14" i="38"/>
  <c r="F82" i="40"/>
  <c r="F83" i="40"/>
  <c r="E150" i="11"/>
  <c r="D75" i="40"/>
  <c r="F34" i="39"/>
  <c r="F37" i="38"/>
  <c r="F28" i="37"/>
  <c r="F46" i="35"/>
  <c r="F31" i="36"/>
  <c r="E151" i="11"/>
  <c r="D42" i="38"/>
  <c r="D33" i="37"/>
  <c r="D51" i="35"/>
  <c r="D36" i="36"/>
  <c r="D39" i="39"/>
  <c r="E148" i="11"/>
  <c r="D33" i="36"/>
  <c r="D39" i="38"/>
  <c r="D30" i="37"/>
  <c r="D36" i="39"/>
  <c r="D48" i="35"/>
  <c r="F58" i="35"/>
  <c r="F57" i="35"/>
  <c r="E147" i="11"/>
  <c r="D32" i="36"/>
  <c r="D35" i="39"/>
  <c r="D38" i="38"/>
  <c r="D29" i="37"/>
  <c r="D47" i="35"/>
  <c r="D41" i="38"/>
  <c r="D32" i="37"/>
  <c r="D50" i="35"/>
  <c r="D38" i="39"/>
  <c r="D35" i="36"/>
  <c r="E91" i="11"/>
  <c r="F22" i="36" s="1"/>
  <c r="D22" i="36"/>
  <c r="E54" i="11"/>
  <c r="D10" i="35"/>
  <c r="E87" i="11"/>
  <c r="F16" i="36" s="1"/>
  <c r="D16" i="36"/>
  <c r="E88" i="11"/>
  <c r="F17" i="36" s="1"/>
  <c r="D17" i="36"/>
  <c r="E89" i="11"/>
  <c r="F18" i="36" s="1"/>
  <c r="D18" i="36"/>
  <c r="E77" i="11"/>
  <c r="F37" i="35" s="1"/>
  <c r="D37" i="35"/>
  <c r="E82" i="11"/>
  <c r="D10" i="36"/>
  <c r="F76" i="40" l="1"/>
  <c r="G53" i="44"/>
  <c r="F54" i="41"/>
  <c r="F73" i="40"/>
  <c r="F51" i="41"/>
  <c r="G50" i="44"/>
  <c r="F72" i="40"/>
  <c r="F50" i="41"/>
  <c r="G49" i="44"/>
  <c r="P13" i="44"/>
  <c r="M13" i="42"/>
  <c r="O13" i="22"/>
  <c r="N13" i="41"/>
  <c r="P12" i="44"/>
  <c r="O12" i="22"/>
  <c r="N12" i="41"/>
  <c r="M12" i="42"/>
  <c r="F75" i="40"/>
  <c r="F53" i="41"/>
  <c r="G52" i="44"/>
  <c r="G33" i="44"/>
  <c r="G29" i="44"/>
  <c r="G30" i="44" s="1"/>
  <c r="H29" i="42"/>
  <c r="H30" i="42" s="1"/>
  <c r="F29" i="42"/>
  <c r="F30" i="42" s="1"/>
  <c r="D29" i="42"/>
  <c r="D30" i="42" s="1"/>
  <c r="B29" i="42"/>
  <c r="B30" i="42" s="1"/>
  <c r="H33" i="41"/>
  <c r="H30" i="41"/>
  <c r="B33" i="41"/>
  <c r="B29" i="41"/>
  <c r="B30" i="41" s="1"/>
  <c r="F33" i="41"/>
  <c r="F29" i="41"/>
  <c r="F30" i="41" s="1"/>
  <c r="D29" i="41"/>
  <c r="D30" i="41" s="1"/>
  <c r="D33" i="41"/>
  <c r="F50" i="35"/>
  <c r="F41" i="38"/>
  <c r="F10" i="36"/>
  <c r="F10" i="35"/>
  <c r="F32" i="37"/>
  <c r="F35" i="36"/>
  <c r="F38" i="39"/>
  <c r="F35" i="39"/>
  <c r="F38" i="38"/>
  <c r="F29" i="37"/>
  <c r="F47" i="35"/>
  <c r="F32" i="36"/>
  <c r="F36" i="36"/>
  <c r="F39" i="39"/>
  <c r="F51" i="35"/>
  <c r="F42" i="38"/>
  <c r="F33" i="37"/>
  <c r="F39" i="38"/>
  <c r="F30" i="37"/>
  <c r="F36" i="39"/>
  <c r="F48" i="35"/>
  <c r="F33" i="36"/>
  <c r="B35" i="41" l="1"/>
  <c r="D35" i="41"/>
  <c r="H35" i="41"/>
  <c r="F36" i="41" s="1"/>
  <c r="D35" i="42"/>
  <c r="B35" i="42"/>
  <c r="G34" i="44"/>
  <c r="B153" i="11"/>
  <c r="C153" i="11" s="1"/>
  <c r="B154" i="11"/>
  <c r="C154" i="11" s="1"/>
  <c r="G35" i="44" l="1"/>
  <c r="B66" i="40"/>
  <c r="B44" i="41"/>
  <c r="C43" i="44"/>
  <c r="B65" i="40"/>
  <c r="B43" i="41"/>
  <c r="B45" i="41" s="1"/>
  <c r="C42" i="44"/>
  <c r="C44" i="44" s="1"/>
  <c r="A42" i="42"/>
  <c r="A42" i="41"/>
  <c r="A43" i="42"/>
  <c r="A43" i="41"/>
  <c r="A44" i="42"/>
  <c r="A44" i="41"/>
  <c r="A45" i="42"/>
  <c r="A45" i="41"/>
  <c r="B67" i="40"/>
  <c r="B23" i="37"/>
  <c r="B41" i="35"/>
  <c r="B29" i="39"/>
  <c r="B26" i="36"/>
  <c r="B32" i="38"/>
  <c r="A18" i="38"/>
  <c r="B40" i="35"/>
  <c r="B28" i="39"/>
  <c r="B25" i="36"/>
  <c r="B22" i="37"/>
  <c r="B31" i="38"/>
  <c r="A19" i="38"/>
  <c r="A12" i="36"/>
  <c r="A13" i="36"/>
  <c r="B155" i="11"/>
  <c r="D153" i="11"/>
  <c r="C155" i="11"/>
  <c r="D154" i="11"/>
  <c r="D65" i="40" l="1"/>
  <c r="D43" i="41"/>
  <c r="E42" i="44"/>
  <c r="D66" i="40"/>
  <c r="F66" i="40" s="1"/>
  <c r="D44" i="41"/>
  <c r="E43" i="44"/>
  <c r="B42" i="35"/>
  <c r="F65" i="40"/>
  <c r="B24" i="37"/>
  <c r="B33" i="38"/>
  <c r="B30" i="39"/>
  <c r="B27" i="36"/>
  <c r="D28" i="39"/>
  <c r="D25" i="36"/>
  <c r="D31" i="38"/>
  <c r="D22" i="37"/>
  <c r="D40" i="35"/>
  <c r="D41" i="35"/>
  <c r="F41" i="35" s="1"/>
  <c r="D29" i="39"/>
  <c r="F29" i="39" s="1"/>
  <c r="D26" i="36"/>
  <c r="F26" i="36" s="1"/>
  <c r="D23" i="37"/>
  <c r="F23" i="37" s="1"/>
  <c r="D32" i="38"/>
  <c r="F32" i="38" s="1"/>
  <c r="E153" i="11"/>
  <c r="D155" i="11"/>
  <c r="E154" i="11"/>
  <c r="E44" i="44" l="1"/>
  <c r="G43" i="44"/>
  <c r="F44" i="41"/>
  <c r="G36" i="44"/>
  <c r="D67" i="40"/>
  <c r="G42" i="44"/>
  <c r="F43" i="41"/>
  <c r="D45" i="41"/>
  <c r="F67" i="40"/>
  <c r="F25" i="36"/>
  <c r="F27" i="36" s="1"/>
  <c r="D27" i="36"/>
  <c r="F40" i="35"/>
  <c r="F42" i="35" s="1"/>
  <c r="D42" i="35"/>
  <c r="F28" i="39"/>
  <c r="F30" i="39" s="1"/>
  <c r="D30" i="39"/>
  <c r="F31" i="38"/>
  <c r="F33" i="38" s="1"/>
  <c r="D33" i="38"/>
  <c r="F22" i="37"/>
  <c r="F24" i="37" s="1"/>
  <c r="D24" i="37"/>
  <c r="E155" i="11"/>
  <c r="G36" i="22" l="1"/>
  <c r="F36" i="42"/>
  <c r="F45" i="41"/>
  <c r="G44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Bjarne Jensen, Transportgruppen</author>
  </authors>
  <commentList>
    <comment ref="B8" authorId="0" shapeId="0" xr:uid="{59DBFAD4-2956-4C8B-A762-54F11EF3C586}">
      <text>
        <r>
          <rPr>
            <b/>
            <sz val="6"/>
            <color indexed="81"/>
            <rFont val="Tahoma"/>
            <family val="2"/>
          </rPr>
          <t>Klik på pil og vælg udfra "rullegardinet".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Bjarne Jensen, Transportgruppen</author>
  </authors>
  <commentList>
    <comment ref="B8" authorId="0" shapeId="0" xr:uid="{7E8DE7D8-4008-49E6-8155-4F890082FC5A}">
      <text>
        <r>
          <rPr>
            <b/>
            <sz val="6"/>
            <color indexed="81"/>
            <rFont val="Tahoma"/>
            <family val="2"/>
          </rPr>
          <t>Klik på pil og vælg udfra "rullegardinet".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IT-Afdelingen</author>
  </authors>
  <commentList>
    <comment ref="C8" authorId="0" shapeId="0" xr:uid="{62070945-7BF5-442D-A2C1-19AD895C0F57}">
      <text>
        <r>
          <rPr>
            <b/>
            <sz val="4"/>
            <color indexed="81"/>
            <rFont val="Tahoma"/>
            <family val="2"/>
          </rPr>
          <t>Klik på pil og vælg udfra "rullegardinet".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IT-Afdelingen</author>
  </authors>
  <commentList>
    <comment ref="C8" authorId="0" shapeId="0" xr:uid="{EDBB77FB-9393-429F-9A1D-76D064176AE3}">
      <text>
        <r>
          <rPr>
            <b/>
            <sz val="4"/>
            <color indexed="81"/>
            <rFont val="Tahoma"/>
            <family val="2"/>
          </rPr>
          <t>Klik på pil og vælg udfra listen i "rullegardinet".</t>
        </r>
      </text>
    </comment>
  </commentList>
</comments>
</file>

<file path=xl/sharedStrings.xml><?xml version="1.0" encoding="utf-8"?>
<sst xmlns="http://schemas.openxmlformats.org/spreadsheetml/2006/main" count="178" uniqueCount="134">
  <si>
    <t>Udgangs-</t>
  </si>
  <si>
    <t>punkt</t>
  </si>
  <si>
    <t>1. marts</t>
  </si>
  <si>
    <t>Gældende fra begyndelsen af den lønningsuge hvori 1. marts indgår.</t>
  </si>
  <si>
    <t>Anciennitet</t>
  </si>
  <si>
    <t>Timelønsstigning:</t>
  </si>
  <si>
    <t>Minuttillæg til døgnvagter med minutter og områdereddere på fast døgnvagt</t>
  </si>
  <si>
    <t>Minuttillæg pr. præsteret døgnvagt til ordinære områdereddere og stationsafløsere på døgnvagt</t>
  </si>
  <si>
    <t>Døgnvagtstillæg pr. præsteret døgnvagt til ordinære områdereddere og stationsafløsere på døgnvagt</t>
  </si>
  <si>
    <t>Forskydningstillæg</t>
  </si>
  <si>
    <t>Områdereddertillæg til ordinære områdereddere og stationsafløsere</t>
  </si>
  <si>
    <t>Dag – kl. 07.00 til kl. 18.00</t>
  </si>
  <si>
    <t>Aften – kl. 18.00 til kl. 24.00</t>
  </si>
  <si>
    <t>Nat – kl. 24.00 til kl. 07.00</t>
  </si>
  <si>
    <t>Lørdag kl. 07.00 til mandag kl. 07.00</t>
  </si>
  <si>
    <t>Skæve helligdage og øvrige helligdage</t>
  </si>
  <si>
    <t>Gældende for hovedvagter</t>
  </si>
  <si>
    <t>10. DN-vagt</t>
  </si>
  <si>
    <t>11. Døgnvagt 87</t>
  </si>
  <si>
    <t>12. Døgnvagt 89</t>
  </si>
  <si>
    <t>13. Døgnvagt 92</t>
  </si>
  <si>
    <t>Arbejdsgivers bidrag</t>
  </si>
  <si>
    <t>Lønmodtagers bidrag</t>
  </si>
  <si>
    <t>D. Liggende sygetransport</t>
  </si>
  <si>
    <t>E. PTR (persontransport)</t>
  </si>
  <si>
    <t>Lønoversigt for:</t>
  </si>
  <si>
    <t>vedrørende B. Ambulance</t>
  </si>
  <si>
    <t>vedrørende C. Brand</t>
  </si>
  <si>
    <t>Redder (brand)</t>
  </si>
  <si>
    <t>vedrørende D. Liggende sygetransport</t>
  </si>
  <si>
    <t>Liggende sygetransportredder</t>
  </si>
  <si>
    <t>vedrørende E. Persontransport</t>
  </si>
  <si>
    <t>PTR (Persontransportredder)</t>
  </si>
  <si>
    <t>vedrørende F. Assistance</t>
  </si>
  <si>
    <t>Autotransportredder</t>
  </si>
  <si>
    <t>Vejserviceredder</t>
  </si>
  <si>
    <t>Skadeserviceredder</t>
  </si>
  <si>
    <t>For ansættelse før 1. november 2015:</t>
  </si>
  <si>
    <t>B. Ambulance</t>
  </si>
  <si>
    <t>C. Brand</t>
  </si>
  <si>
    <t>1. marts 2020</t>
  </si>
  <si>
    <t>1. marts 2021</t>
  </si>
  <si>
    <t>1. marts 2022</t>
  </si>
  <si>
    <t>1. marts 2020 til 28. februar 2023</t>
  </si>
  <si>
    <t>Lønoversigten gælder for:</t>
  </si>
  <si>
    <t>A. Ambulanceassistent</t>
  </si>
  <si>
    <t>B. Ambulancebehandler</t>
  </si>
  <si>
    <t>C. Paramediciner</t>
  </si>
  <si>
    <t>Stillingskategori</t>
  </si>
  <si>
    <t>10. Efter 9 års tjeneste</t>
  </si>
  <si>
    <t>11. Efter 10 års tjeneste</t>
  </si>
  <si>
    <t>12. Efter 11 års tjeneste</t>
  </si>
  <si>
    <t>13. Efter 12 års tjeneste</t>
  </si>
  <si>
    <t>14. Efter 13 års tjeneste</t>
  </si>
  <si>
    <t>Vagtordning</t>
  </si>
  <si>
    <t>Anciennitetstillæg</t>
  </si>
  <si>
    <t>Kvalifikationsløn</t>
  </si>
  <si>
    <t>Reddertillæg</t>
  </si>
  <si>
    <t>Særligt tillæg</t>
  </si>
  <si>
    <t>Ferietillæg</t>
  </si>
  <si>
    <t>Særlig opsparing, inkl. feriepenge</t>
  </si>
  <si>
    <t>Generellle satser</t>
  </si>
  <si>
    <t>Øvrige særlige tillæg</t>
  </si>
  <si>
    <t>Genetillæg pr. time</t>
  </si>
  <si>
    <t>Hverdage</t>
  </si>
  <si>
    <t>Weekend</t>
  </si>
  <si>
    <t>Pension</t>
  </si>
  <si>
    <t>Pensionsbidrag i alt</t>
  </si>
  <si>
    <t>Geneløn ekskl. helligdagstillæg</t>
  </si>
  <si>
    <t>Regulering af genetillæg</t>
  </si>
  <si>
    <t>01. Nyansatte</t>
  </si>
  <si>
    <t>02. Efter 1 års tjeneste</t>
  </si>
  <si>
    <t>03. Efter 2 års tjeneste</t>
  </si>
  <si>
    <t>04. Efter 3 års tjeneste</t>
  </si>
  <si>
    <t>05. Efter 4 års tjeneste</t>
  </si>
  <si>
    <t>06. Efter 5 års tjeneste</t>
  </si>
  <si>
    <t>07. Efter 6 års tjeneste</t>
  </si>
  <si>
    <t>08. Efter 7 års tjeneste</t>
  </si>
  <si>
    <t>09. Efter 8 års tjeneste</t>
  </si>
  <si>
    <t>01. Dagvagt</t>
  </si>
  <si>
    <t>02. 2-skiftet vagt</t>
  </si>
  <si>
    <t>03. 3+2+2-vagt</t>
  </si>
  <si>
    <t>04. Dag/aftenvagt</t>
  </si>
  <si>
    <t>05. DDAA-vagt</t>
  </si>
  <si>
    <t>06. DDN-vagt</t>
  </si>
  <si>
    <t>07A. Døgnvagt</t>
  </si>
  <si>
    <t>07B1. Garantidøgnvagt DV9</t>
  </si>
  <si>
    <t>07B2. Garantidøgnvagt DV10</t>
  </si>
  <si>
    <t>07B3. Garantidøgnvagt DV11</t>
  </si>
  <si>
    <t>07B4. Garantidøgnvagt DV12</t>
  </si>
  <si>
    <t>07B5. Garantidøgnvagt DV13</t>
  </si>
  <si>
    <t>08. 3-skiftet vagt</t>
  </si>
  <si>
    <t>09. 3+2+2 med 3 A-vagter</t>
  </si>
  <si>
    <t>09. 3+2+2 med 4 A-vagter</t>
  </si>
  <si>
    <t>29. februar 2020</t>
  </si>
  <si>
    <t>I alt inkl. særlig opsparing</t>
  </si>
  <si>
    <t>Månedsløn</t>
  </si>
  <si>
    <t>Arbejdsgivers pensionbidrag</t>
  </si>
  <si>
    <t>Samlet stigning 2020-2023</t>
  </si>
  <si>
    <t>Faggruppe</t>
  </si>
  <si>
    <t>1.3.2020</t>
  </si>
  <si>
    <t>1.3.2021</t>
  </si>
  <si>
    <t>1.3.2022</t>
  </si>
  <si>
    <t>29.2.2020</t>
  </si>
  <si>
    <t>Anciennitet ved:</t>
  </si>
  <si>
    <t>F2. Assistance - Montør/lager</t>
  </si>
  <si>
    <t>Ansat før 1. oktober 2017 ved Falck Teknik</t>
  </si>
  <si>
    <t>01. Efter 1 år</t>
  </si>
  <si>
    <t>02. Efter 3 år</t>
  </si>
  <si>
    <t>02. Efter 5 år</t>
  </si>
  <si>
    <t>01. Efter 3 år</t>
  </si>
  <si>
    <t>03. Efter 7 år</t>
  </si>
  <si>
    <t>04. Efter 9 år</t>
  </si>
  <si>
    <t>05. Efter 11 år</t>
  </si>
  <si>
    <t>06. Efter 13 år</t>
  </si>
  <si>
    <t>Vælg jf. faggruppe</t>
  </si>
  <si>
    <t>F1. Assistance - Vej-/Skadeservice</t>
  </si>
  <si>
    <t>Vagtordning under:</t>
  </si>
  <si>
    <t>mellem DEA for Falck/Responce og 3F</t>
  </si>
  <si>
    <t>Lønoversigt for Redderoverenskomster</t>
  </si>
  <si>
    <t>07. Døgnvagt</t>
  </si>
  <si>
    <t>09A. 3+2+2 med 3 A-vagter</t>
  </si>
  <si>
    <t>09B. 3+2+2 med 4 A-vagter</t>
  </si>
  <si>
    <t>Særlig opsparing</t>
  </si>
  <si>
    <t>Montør/Lagermedarbejder</t>
  </si>
  <si>
    <t>Ansat 1. oktober 2017 eller senere)</t>
  </si>
  <si>
    <t>Lønstigninger for Redderoverenskomster</t>
  </si>
  <si>
    <t>Samlet stigning pr. måned</t>
  </si>
  <si>
    <t>1. mar. 2020</t>
  </si>
  <si>
    <t>1. mar. 2021</t>
  </si>
  <si>
    <t>1. mar. 2022</t>
  </si>
  <si>
    <t>Månedsløn i alt</t>
  </si>
  <si>
    <t>Grundløn, pr. måned</t>
  </si>
  <si>
    <t>I alt inkl. ferietill. og arb. pensionbidrag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</si>
</sst>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4"/>
      <color indexed="81"/>
      <name val="Tahoma"/>
      <family val="2"/>
    </font>
    <font>
      <b/>
      <sz val="6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60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BE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3" fillId="0" borderId="0" xfId="0" applyFont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6" xfId="0" applyFont="1" applyBorder="1"/>
    <xf numFmtId="2" fontId="3" fillId="0" borderId="7" xfId="0" applyNumberFormat="1" applyFont="1" applyBorder="1"/>
    <xf numFmtId="0" fontId="3" fillId="0" borderId="9" xfId="0" applyFont="1" applyBorder="1"/>
    <xf numFmtId="2" fontId="3" fillId="0" borderId="10" xfId="0" applyNumberFormat="1" applyFont="1" applyBorder="1"/>
    <xf numFmtId="2" fontId="3" fillId="0" borderId="5" xfId="0" applyNumberFormat="1" applyFont="1" applyBorder="1"/>
    <xf numFmtId="4" fontId="3" fillId="0" borderId="1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4" fontId="3" fillId="0" borderId="7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2" fontId="3" fillId="0" borderId="20" xfId="0" applyNumberFormat="1" applyFont="1" applyBorder="1"/>
    <xf numFmtId="2" fontId="3" fillId="0" borderId="21" xfId="0" applyNumberFormat="1" applyFont="1" applyBorder="1"/>
    <xf numFmtId="2" fontId="3" fillId="0" borderId="16" xfId="0" applyNumberFormat="1" applyFont="1" applyBorder="1"/>
    <xf numFmtId="2" fontId="3" fillId="0" borderId="24" xfId="0" applyNumberFormat="1" applyFont="1" applyBorder="1"/>
    <xf numFmtId="2" fontId="3" fillId="0" borderId="22" xfId="0" applyNumberFormat="1" applyFont="1" applyBorder="1"/>
    <xf numFmtId="2" fontId="3" fillId="0" borderId="25" xfId="0" applyNumberFormat="1" applyFont="1" applyBorder="1"/>
    <xf numFmtId="4" fontId="3" fillId="0" borderId="22" xfId="0" applyNumberFormat="1" applyFont="1" applyBorder="1"/>
    <xf numFmtId="10" fontId="3" fillId="0" borderId="3" xfId="0" applyNumberFormat="1" applyFont="1" applyBorder="1"/>
    <xf numFmtId="4" fontId="3" fillId="0" borderId="0" xfId="0" applyNumberFormat="1" applyFont="1" applyBorder="1"/>
    <xf numFmtId="2" fontId="3" fillId="0" borderId="11" xfId="0" applyNumberFormat="1" applyFont="1" applyBorder="1"/>
    <xf numFmtId="2" fontId="3" fillId="0" borderId="15" xfId="0" applyNumberFormat="1" applyFont="1" applyBorder="1"/>
    <xf numFmtId="2" fontId="3" fillId="0" borderId="12" xfId="0" applyNumberFormat="1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3" fillId="0" borderId="35" xfId="0" applyNumberFormat="1" applyFont="1" applyBorder="1"/>
    <xf numFmtId="4" fontId="3" fillId="0" borderId="36" xfId="0" applyNumberFormat="1" applyFont="1" applyBorder="1"/>
    <xf numFmtId="2" fontId="3" fillId="0" borderId="37" xfId="0" applyNumberFormat="1" applyFont="1" applyBorder="1"/>
    <xf numFmtId="2" fontId="3" fillId="0" borderId="38" xfId="0" applyNumberFormat="1" applyFont="1" applyBorder="1"/>
    <xf numFmtId="2" fontId="3" fillId="0" borderId="39" xfId="0" applyNumberFormat="1" applyFont="1" applyBorder="1"/>
    <xf numFmtId="10" fontId="3" fillId="0" borderId="5" xfId="0" applyNumberFormat="1" applyFont="1" applyBorder="1"/>
    <xf numFmtId="165" fontId="3" fillId="0" borderId="23" xfId="0" applyNumberFormat="1" applyFont="1" applyBorder="1"/>
    <xf numFmtId="4" fontId="3" fillId="0" borderId="24" xfId="0" applyNumberFormat="1" applyFont="1" applyBorder="1"/>
    <xf numFmtId="4" fontId="3" fillId="0" borderId="21" xfId="0" applyNumberFormat="1" applyFont="1" applyBorder="1"/>
    <xf numFmtId="4" fontId="3" fillId="0" borderId="44" xfId="0" applyNumberFormat="1" applyFont="1" applyBorder="1"/>
    <xf numFmtId="4" fontId="3" fillId="0" borderId="45" xfId="0" applyNumberFormat="1" applyFont="1" applyBorder="1"/>
    <xf numFmtId="10" fontId="3" fillId="0" borderId="22" xfId="0" applyNumberFormat="1" applyFont="1" applyBorder="1"/>
    <xf numFmtId="10" fontId="3" fillId="0" borderId="23" xfId="0" applyNumberFormat="1" applyFont="1" applyBorder="1"/>
    <xf numFmtId="2" fontId="3" fillId="0" borderId="48" xfId="0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165" fontId="3" fillId="0" borderId="17" xfId="0" applyNumberFormat="1" applyFont="1" applyBorder="1"/>
    <xf numFmtId="165" fontId="3" fillId="0" borderId="8" xfId="0" applyNumberFormat="1" applyFont="1" applyBorder="1"/>
    <xf numFmtId="0" fontId="2" fillId="0" borderId="50" xfId="0" applyFont="1" applyBorder="1"/>
    <xf numFmtId="0" fontId="2" fillId="0" borderId="25" xfId="0" applyFont="1" applyBorder="1"/>
    <xf numFmtId="0" fontId="0" fillId="0" borderId="24" xfId="0" applyBorder="1"/>
    <xf numFmtId="2" fontId="0" fillId="0" borderId="0" xfId="0" applyNumberFormat="1"/>
    <xf numFmtId="0" fontId="0" fillId="0" borderId="23" xfId="0" applyBorder="1"/>
    <xf numFmtId="0" fontId="0" fillId="0" borderId="0" xfId="0" applyAlignment="1">
      <alignment horizontal="left" indent="1"/>
    </xf>
    <xf numFmtId="0" fontId="0" fillId="0" borderId="0" xfId="0" applyBorder="1"/>
    <xf numFmtId="0" fontId="4" fillId="0" borderId="0" xfId="0" applyFont="1" applyBorder="1"/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0" fillId="2" borderId="0" xfId="0" applyFill="1" applyBorder="1"/>
    <xf numFmtId="164" fontId="3" fillId="0" borderId="0" xfId="0" applyNumberFormat="1" applyFont="1" applyBorder="1"/>
    <xf numFmtId="10" fontId="3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164" fontId="3" fillId="0" borderId="0" xfId="0" applyNumberFormat="1" applyFont="1" applyBorder="1" applyAlignment="1"/>
    <xf numFmtId="0" fontId="3" fillId="0" borderId="22" xfId="0" applyFont="1" applyBorder="1"/>
    <xf numFmtId="4" fontId="3" fillId="0" borderId="25" xfId="0" applyNumberFormat="1" applyFont="1" applyBorder="1"/>
    <xf numFmtId="4" fontId="3" fillId="0" borderId="47" xfId="0" applyNumberFormat="1" applyFont="1" applyBorder="1"/>
    <xf numFmtId="165" fontId="3" fillId="0" borderId="46" xfId="0" applyNumberFormat="1" applyFont="1" applyBorder="1"/>
    <xf numFmtId="0" fontId="4" fillId="3" borderId="0" xfId="0" applyFont="1" applyFill="1" applyBorder="1" applyAlignment="1">
      <alignment horizontal="center"/>
    </xf>
    <xf numFmtId="4" fontId="3" fillId="0" borderId="48" xfId="0" applyNumberFormat="1" applyFont="1" applyBorder="1"/>
    <xf numFmtId="0" fontId="3" fillId="0" borderId="6" xfId="0" applyFont="1" applyBorder="1" applyAlignment="1"/>
    <xf numFmtId="4" fontId="3" fillId="0" borderId="40" xfId="0" applyNumberFormat="1" applyFont="1" applyBorder="1"/>
    <xf numFmtId="165" fontId="3" fillId="0" borderId="14" xfId="0" applyNumberFormat="1" applyFont="1" applyBorder="1" applyAlignment="1">
      <alignment horizontal="right"/>
    </xf>
    <xf numFmtId="10" fontId="3" fillId="0" borderId="13" xfId="0" applyNumberFormat="1" applyFont="1" applyBorder="1"/>
    <xf numFmtId="0" fontId="3" fillId="0" borderId="9" xfId="0" applyFont="1" applyBorder="1" applyAlignment="1">
      <alignment horizontal="left"/>
    </xf>
    <xf numFmtId="10" fontId="2" fillId="0" borderId="51" xfId="0" applyNumberFormat="1" applyFont="1" applyBorder="1"/>
    <xf numFmtId="10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0" fillId="0" borderId="0" xfId="0" applyAlignment="1"/>
    <xf numFmtId="2" fontId="3" fillId="0" borderId="59" xfId="0" applyNumberFormat="1" applyFont="1" applyBorder="1"/>
    <xf numFmtId="165" fontId="3" fillId="0" borderId="49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22" xfId="0" applyBorder="1"/>
    <xf numFmtId="0" fontId="4" fillId="0" borderId="27" xfId="0" applyFont="1" applyBorder="1"/>
    <xf numFmtId="0" fontId="2" fillId="0" borderId="54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5" fontId="3" fillId="0" borderId="56" xfId="0" applyNumberFormat="1" applyFont="1" applyBorder="1" applyAlignment="1">
      <alignment horizontal="right"/>
    </xf>
    <xf numFmtId="2" fontId="3" fillId="0" borderId="45" xfId="0" applyNumberFormat="1" applyFont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left" indent="1"/>
    </xf>
    <xf numFmtId="10" fontId="3" fillId="0" borderId="10" xfId="0" applyNumberFormat="1" applyFont="1" applyBorder="1"/>
    <xf numFmtId="4" fontId="3" fillId="0" borderId="52" xfId="0" applyNumberFormat="1" applyFont="1" applyBorder="1"/>
    <xf numFmtId="4" fontId="3" fillId="0" borderId="10" xfId="0" applyNumberFormat="1" applyFont="1" applyBorder="1"/>
    <xf numFmtId="0" fontId="0" fillId="0" borderId="0" xfId="0" applyBorder="1" applyAlignment="1">
      <alignment horizontal="center"/>
    </xf>
    <xf numFmtId="0" fontId="2" fillId="0" borderId="35" xfId="0" applyFont="1" applyBorder="1"/>
    <xf numFmtId="2" fontId="3" fillId="0" borderId="41" xfId="0" applyNumberFormat="1" applyFont="1" applyBorder="1"/>
    <xf numFmtId="4" fontId="3" fillId="0" borderId="4" xfId="0" applyNumberFormat="1" applyFont="1" applyBorder="1"/>
    <xf numFmtId="0" fontId="2" fillId="0" borderId="6" xfId="0" applyFont="1" applyBorder="1"/>
    <xf numFmtId="4" fontId="3" fillId="0" borderId="39" xfId="0" applyNumberFormat="1" applyFont="1" applyBorder="1"/>
    <xf numFmtId="0" fontId="3" fillId="0" borderId="6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2" fontId="3" fillId="0" borderId="52" xfId="0" applyNumberFormat="1" applyFont="1" applyBorder="1"/>
    <xf numFmtId="165" fontId="3" fillId="0" borderId="16" xfId="0" applyNumberFormat="1" applyFont="1" applyBorder="1"/>
    <xf numFmtId="165" fontId="3" fillId="0" borderId="1" xfId="0" applyNumberFormat="1" applyFont="1" applyBorder="1"/>
    <xf numFmtId="165" fontId="3" fillId="0" borderId="7" xfId="0" applyNumberFormat="1" applyFont="1" applyBorder="1"/>
    <xf numFmtId="4" fontId="3" fillId="0" borderId="60" xfId="0" applyNumberFormat="1" applyFont="1" applyBorder="1"/>
    <xf numFmtId="0" fontId="2" fillId="0" borderId="22" xfId="0" applyFont="1" applyBorder="1"/>
    <xf numFmtId="0" fontId="2" fillId="0" borderId="42" xfId="0" applyFont="1" applyBorder="1" applyAlignment="1">
      <alignment wrapText="1"/>
    </xf>
    <xf numFmtId="4" fontId="3" fillId="0" borderId="36" xfId="0" applyNumberFormat="1" applyFont="1" applyBorder="1" applyAlignment="1">
      <alignment horizontal="center"/>
    </xf>
    <xf numFmtId="0" fontId="2" fillId="0" borderId="43" xfId="0" applyFont="1" applyBorder="1"/>
    <xf numFmtId="2" fontId="3" fillId="0" borderId="44" xfId="0" applyNumberFormat="1" applyFont="1" applyBorder="1"/>
    <xf numFmtId="0" fontId="2" fillId="0" borderId="23" xfId="0" applyFont="1" applyBorder="1" applyAlignment="1"/>
    <xf numFmtId="0" fontId="2" fillId="0" borderId="22" xfId="0" applyFont="1" applyBorder="1" applyAlignment="1"/>
    <xf numFmtId="10" fontId="3" fillId="0" borderId="48" xfId="0" applyNumberFormat="1" applyFont="1" applyBorder="1"/>
    <xf numFmtId="10" fontId="3" fillId="0" borderId="58" xfId="0" applyNumberFormat="1" applyFont="1" applyBorder="1"/>
    <xf numFmtId="10" fontId="3" fillId="0" borderId="7" xfId="0" applyNumberFormat="1" applyFont="1" applyBorder="1"/>
    <xf numFmtId="10" fontId="3" fillId="0" borderId="16" xfId="0" applyNumberFormat="1" applyFont="1" applyBorder="1"/>
    <xf numFmtId="10" fontId="3" fillId="0" borderId="1" xfId="0" applyNumberFormat="1" applyFont="1" applyBorder="1"/>
    <xf numFmtId="10" fontId="3" fillId="0" borderId="26" xfId="0" applyNumberFormat="1" applyFont="1" applyBorder="1"/>
    <xf numFmtId="10" fontId="3" fillId="0" borderId="14" xfId="0" applyNumberFormat="1" applyFont="1" applyBorder="1"/>
    <xf numFmtId="10" fontId="3" fillId="0" borderId="22" xfId="0" applyNumberFormat="1" applyFont="1" applyBorder="1" applyAlignment="1"/>
    <xf numFmtId="10" fontId="3" fillId="0" borderId="23" xfId="0" applyNumberFormat="1" applyFont="1" applyBorder="1" applyAlignment="1"/>
    <xf numFmtId="0" fontId="2" fillId="0" borderId="6" xfId="0" applyFont="1" applyBorder="1" applyAlignment="1"/>
    <xf numFmtId="0" fontId="2" fillId="0" borderId="42" xfId="0" applyFont="1" applyBorder="1" applyAlignment="1"/>
    <xf numFmtId="165" fontId="3" fillId="0" borderId="13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0" fontId="3" fillId="0" borderId="52" xfId="0" applyNumberFormat="1" applyFont="1" applyBorder="1"/>
    <xf numFmtId="10" fontId="3" fillId="0" borderId="39" xfId="0" applyNumberFormat="1" applyFont="1" applyBorder="1"/>
    <xf numFmtId="0" fontId="2" fillId="0" borderId="36" xfId="0" applyFont="1" applyBorder="1"/>
    <xf numFmtId="4" fontId="3" fillId="0" borderId="22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37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3" fillId="0" borderId="38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3" fillId="0" borderId="14" xfId="0" applyNumberFormat="1" applyFont="1" applyBorder="1"/>
    <xf numFmtId="0" fontId="2" fillId="0" borderId="6" xfId="0" applyFont="1" applyBorder="1" applyAlignment="1">
      <alignment horizontal="left"/>
    </xf>
    <xf numFmtId="165" fontId="3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165" fontId="3" fillId="0" borderId="26" xfId="0" applyNumberFormat="1" applyFont="1" applyBorder="1"/>
    <xf numFmtId="0" fontId="3" fillId="0" borderId="22" xfId="0" applyFont="1" applyBorder="1" applyAlignment="1">
      <alignment horizontal="left"/>
    </xf>
    <xf numFmtId="165" fontId="3" fillId="0" borderId="22" xfId="0" applyNumberFormat="1" applyFont="1" applyBorder="1" applyAlignment="1">
      <alignment horizontal="right"/>
    </xf>
    <xf numFmtId="10" fontId="2" fillId="0" borderId="22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58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65" fontId="3" fillId="0" borderId="22" xfId="0" applyNumberFormat="1" applyFont="1" applyBorder="1"/>
    <xf numFmtId="165" fontId="3" fillId="0" borderId="55" xfId="0" applyNumberFormat="1" applyFont="1" applyBorder="1"/>
    <xf numFmtId="165" fontId="3" fillId="0" borderId="56" xfId="0" applyNumberFormat="1" applyFont="1" applyBorder="1"/>
    <xf numFmtId="165" fontId="3" fillId="0" borderId="25" xfId="0" applyNumberFormat="1" applyFont="1" applyBorder="1" applyAlignment="1">
      <alignment horizontal="right"/>
    </xf>
    <xf numFmtId="165" fontId="3" fillId="0" borderId="52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0" borderId="39" xfId="0" applyNumberFormat="1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22" xfId="0" applyFont="1" applyBorder="1" applyAlignment="1">
      <alignment wrapText="1"/>
    </xf>
    <xf numFmtId="4" fontId="3" fillId="0" borderId="35" xfId="0" applyNumberFormat="1" applyFont="1" applyBorder="1"/>
    <xf numFmtId="4" fontId="3" fillId="0" borderId="57" xfId="0" applyNumberFormat="1" applyFont="1" applyBorder="1"/>
    <xf numFmtId="0" fontId="2" fillId="0" borderId="3" xfId="0" applyFont="1" applyBorder="1" applyAlignment="1"/>
    <xf numFmtId="10" fontId="3" fillId="0" borderId="3" xfId="0" applyNumberFormat="1" applyFont="1" applyBorder="1" applyAlignment="1"/>
    <xf numFmtId="0" fontId="2" fillId="0" borderId="5" xfId="0" applyFont="1" applyBorder="1" applyAlignment="1"/>
    <xf numFmtId="10" fontId="3" fillId="0" borderId="5" xfId="0" applyNumberFormat="1" applyFont="1" applyBorder="1" applyAlignment="1"/>
    <xf numFmtId="0" fontId="2" fillId="0" borderId="27" xfId="0" applyFont="1" applyBorder="1" applyAlignment="1">
      <alignment horizontal="center" vertical="center"/>
    </xf>
    <xf numFmtId="0" fontId="1" fillId="0" borderId="0" xfId="1"/>
    <xf numFmtId="0" fontId="7" fillId="0" borderId="0" xfId="1" applyFont="1"/>
    <xf numFmtId="0" fontId="1" fillId="0" borderId="0" xfId="1" applyAlignment="1">
      <alignment horizontal="left" indent="1"/>
    </xf>
    <xf numFmtId="0" fontId="1" fillId="0" borderId="0" xfId="1" applyAlignment="1" applyProtection="1">
      <alignment horizontal="left" indent="1"/>
      <protection locked="0"/>
    </xf>
    <xf numFmtId="2" fontId="1" fillId="0" borderId="0" xfId="1" applyNumberFormat="1"/>
    <xf numFmtId="0" fontId="2" fillId="0" borderId="0" xfId="1" applyFont="1"/>
    <xf numFmtId="0" fontId="5" fillId="0" borderId="0" xfId="1" applyFont="1" applyAlignment="1">
      <alignment horizontal="center"/>
    </xf>
    <xf numFmtId="0" fontId="3" fillId="0" borderId="0" xfId="1" applyFont="1"/>
    <xf numFmtId="164" fontId="3" fillId="0" borderId="0" xfId="1" applyNumberFormat="1" applyFont="1"/>
    <xf numFmtId="164" fontId="1" fillId="0" borderId="0" xfId="1" applyNumberFormat="1"/>
    <xf numFmtId="0" fontId="3" fillId="0" borderId="0" xfId="1" applyFont="1" applyAlignment="1">
      <alignment horizontal="left"/>
    </xf>
    <xf numFmtId="164" fontId="3" fillId="0" borderId="5" xfId="1" applyNumberFormat="1" applyFont="1" applyBorder="1"/>
    <xf numFmtId="164" fontId="2" fillId="0" borderId="0" xfId="1" applyNumberFormat="1" applyFont="1"/>
    <xf numFmtId="164" fontId="4" fillId="0" borderId="0" xfId="1" applyNumberFormat="1" applyFont="1"/>
    <xf numFmtId="164" fontId="2" fillId="0" borderId="3" xfId="1" applyNumberFormat="1" applyFont="1" applyBorder="1"/>
    <xf numFmtId="164" fontId="2" fillId="0" borderId="51" xfId="1" applyNumberFormat="1" applyFont="1" applyBorder="1"/>
    <xf numFmtId="0" fontId="6" fillId="0" borderId="0" xfId="1" applyFont="1"/>
    <xf numFmtId="10" fontId="3" fillId="0" borderId="0" xfId="1" applyNumberFormat="1" applyFont="1"/>
    <xf numFmtId="10" fontId="5" fillId="0" borderId="0" xfId="1" applyNumberFormat="1" applyFont="1" applyAlignment="1">
      <alignment horizontal="center"/>
    </xf>
    <xf numFmtId="10" fontId="1" fillId="0" borderId="0" xfId="1" applyNumberFormat="1"/>
    <xf numFmtId="10" fontId="2" fillId="0" borderId="51" xfId="1" applyNumberFormat="1" applyFont="1" applyBorder="1"/>
    <xf numFmtId="10" fontId="4" fillId="0" borderId="0" xfId="1" applyNumberFormat="1" applyFont="1"/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3" fillId="0" borderId="0" xfId="1" applyNumberFormat="1" applyFont="1" applyBorder="1"/>
    <xf numFmtId="0" fontId="3" fillId="0" borderId="0" xfId="1" applyFont="1" applyAlignment="1">
      <alignment wrapText="1"/>
    </xf>
    <xf numFmtId="164" fontId="1" fillId="0" borderId="0" xfId="1" applyNumberFormat="1" applyFont="1"/>
    <xf numFmtId="10" fontId="3" fillId="0" borderId="0" xfId="1" applyNumberFormat="1" applyFont="1" applyAlignment="1">
      <alignment horizontal="right"/>
    </xf>
    <xf numFmtId="164" fontId="2" fillId="0" borderId="0" xfId="1" applyNumberFormat="1" applyFont="1" applyBorder="1"/>
    <xf numFmtId="10" fontId="2" fillId="0" borderId="0" xfId="1" applyNumberFormat="1" applyFont="1" applyBorder="1"/>
    <xf numFmtId="0" fontId="2" fillId="0" borderId="6" xfId="0" applyFont="1" applyBorder="1" applyAlignment="1">
      <alignment wrapText="1"/>
    </xf>
    <xf numFmtId="0" fontId="1" fillId="0" borderId="0" xfId="1" applyAlignment="1">
      <alignment horizontal="left" indent="1"/>
    </xf>
    <xf numFmtId="164" fontId="2" fillId="0" borderId="61" xfId="1" applyNumberFormat="1" applyFont="1" applyBorder="1"/>
    <xf numFmtId="0" fontId="0" fillId="0" borderId="0" xfId="0" applyAlignment="1"/>
    <xf numFmtId="0" fontId="6" fillId="0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22" xfId="1" applyFont="1" applyBorder="1"/>
    <xf numFmtId="0" fontId="3" fillId="0" borderId="23" xfId="1" applyFont="1" applyBorder="1"/>
    <xf numFmtId="0" fontId="3" fillId="0" borderId="24" xfId="1" applyFont="1" applyBorder="1"/>
    <xf numFmtId="0" fontId="2" fillId="0" borderId="8" xfId="1" applyFont="1" applyBorder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Alignment="1">
      <alignment horizontal="left" indent="1"/>
    </xf>
    <xf numFmtId="0" fontId="3" fillId="0" borderId="0" xfId="1" applyFont="1" applyAlignment="1" applyProtection="1">
      <alignment horizontal="left" indent="1"/>
      <protection locked="0"/>
    </xf>
    <xf numFmtId="0" fontId="4" fillId="0" borderId="27" xfId="0" applyFont="1" applyBorder="1" applyAlignment="1">
      <alignment horizontal="center" vertical="center"/>
    </xf>
    <xf numFmtId="2" fontId="3" fillId="0" borderId="0" xfId="1" applyNumberFormat="1" applyFont="1"/>
    <xf numFmtId="2" fontId="2" fillId="0" borderId="36" xfId="1" applyNumberFormat="1" applyFont="1" applyBorder="1"/>
    <xf numFmtId="2" fontId="3" fillId="0" borderId="22" xfId="1" applyNumberFormat="1" applyFont="1" applyBorder="1"/>
    <xf numFmtId="2" fontId="3" fillId="0" borderId="23" xfId="1" applyNumberFormat="1" applyFont="1" applyBorder="1"/>
    <xf numFmtId="2" fontId="2" fillId="0" borderId="8" xfId="1" applyNumberFormat="1" applyFont="1" applyBorder="1"/>
    <xf numFmtId="0" fontId="1" fillId="0" borderId="34" xfId="1" applyBorder="1" applyAlignment="1">
      <alignment horizontal="left" indent="1"/>
    </xf>
    <xf numFmtId="0" fontId="2" fillId="0" borderId="36" xfId="1" applyFont="1" applyBorder="1"/>
    <xf numFmtId="0" fontId="3" fillId="0" borderId="0" xfId="1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1" applyBorder="1" applyAlignment="1">
      <alignment horizontal="left" indent="1"/>
    </xf>
    <xf numFmtId="0" fontId="2" fillId="0" borderId="36" xfId="0" applyFont="1" applyBorder="1" applyAlignment="1">
      <alignment wrapText="1"/>
    </xf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0" fillId="0" borderId="3" xfId="0" applyBorder="1" applyAlignment="1"/>
    <xf numFmtId="0" fontId="0" fillId="0" borderId="37" xfId="0" applyBorder="1" applyAlignment="1"/>
    <xf numFmtId="0" fontId="0" fillId="0" borderId="5" xfId="0" applyBorder="1" applyAlignment="1"/>
    <xf numFmtId="0" fontId="0" fillId="0" borderId="38" xfId="0" applyBorder="1" applyAlignment="1"/>
    <xf numFmtId="0" fontId="2" fillId="0" borderId="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10" fontId="3" fillId="0" borderId="22" xfId="1" applyNumberFormat="1" applyFont="1" applyBorder="1"/>
    <xf numFmtId="10" fontId="3" fillId="0" borderId="23" xfId="1" applyNumberFormat="1" applyFont="1" applyBorder="1"/>
    <xf numFmtId="2" fontId="2" fillId="0" borderId="50" xfId="1" applyNumberFormat="1" applyFont="1" applyBorder="1"/>
    <xf numFmtId="2" fontId="2" fillId="0" borderId="28" xfId="1" applyNumberFormat="1" applyFont="1" applyBorder="1"/>
    <xf numFmtId="2" fontId="3" fillId="0" borderId="6" xfId="1" applyNumberFormat="1" applyFont="1" applyBorder="1"/>
    <xf numFmtId="2" fontId="3" fillId="0" borderId="42" xfId="1" applyNumberFormat="1" applyFont="1" applyBorder="1"/>
    <xf numFmtId="0" fontId="2" fillId="0" borderId="36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3" fillId="0" borderId="49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2" fillId="0" borderId="59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9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0" fillId="0" borderId="1" xfId="0" applyNumberFormat="1" applyBorder="1"/>
    <xf numFmtId="10" fontId="0" fillId="0" borderId="7" xfId="0" applyNumberFormat="1" applyBorder="1"/>
    <xf numFmtId="4" fontId="0" fillId="0" borderId="13" xfId="0" applyNumberFormat="1" applyBorder="1"/>
    <xf numFmtId="10" fontId="0" fillId="0" borderId="14" xfId="0" applyNumberFormat="1" applyBorder="1"/>
    <xf numFmtId="0" fontId="1" fillId="2" borderId="0" xfId="0" applyFont="1" applyFill="1" applyBorder="1" applyAlignment="1"/>
    <xf numFmtId="4" fontId="4" fillId="2" borderId="0" xfId="0" applyNumberFormat="1" applyFont="1" applyFill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36" xfId="0" applyNumberFormat="1" applyBorder="1"/>
    <xf numFmtId="4" fontId="0" fillId="0" borderId="8" xfId="0" applyNumberFormat="1" applyBorder="1"/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wrapText="1"/>
    </xf>
    <xf numFmtId="4" fontId="0" fillId="0" borderId="16" xfId="0" applyNumberFormat="1" applyBorder="1"/>
    <xf numFmtId="4" fontId="0" fillId="0" borderId="26" xfId="0" applyNumberFormat="1" applyBorder="1"/>
    <xf numFmtId="0" fontId="0" fillId="0" borderId="21" xfId="0" applyBorder="1"/>
    <xf numFmtId="0" fontId="0" fillId="0" borderId="44" xfId="0" applyBorder="1"/>
    <xf numFmtId="0" fontId="0" fillId="0" borderId="45" xfId="0" applyBorder="1"/>
    <xf numFmtId="0" fontId="4" fillId="0" borderId="2" xfId="0" applyFont="1" applyBorder="1"/>
    <xf numFmtId="0" fontId="4" fillId="0" borderId="31" xfId="0" applyFont="1" applyBorder="1"/>
    <xf numFmtId="0" fontId="4" fillId="0" borderId="3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/>
    <xf numFmtId="10" fontId="1" fillId="2" borderId="0" xfId="0" applyNumberFormat="1" applyFont="1" applyFill="1" applyBorder="1"/>
    <xf numFmtId="4" fontId="1" fillId="4" borderId="0" xfId="0" applyNumberFormat="1" applyFont="1" applyFill="1" applyBorder="1"/>
    <xf numFmtId="4" fontId="1" fillId="6" borderId="0" xfId="0" applyNumberFormat="1" applyFont="1" applyFill="1" applyBorder="1"/>
    <xf numFmtId="4" fontId="4" fillId="4" borderId="3" xfId="0" applyNumberFormat="1" applyFont="1" applyFill="1" applyBorder="1"/>
    <xf numFmtId="4" fontId="4" fillId="6" borderId="3" xfId="0" applyNumberFormat="1" applyFont="1" applyFill="1" applyBorder="1"/>
    <xf numFmtId="4" fontId="1" fillId="6" borderId="0" xfId="0" applyNumberFormat="1" applyFont="1" applyFill="1" applyBorder="1" applyAlignment="1">
      <alignment horizontal="right"/>
    </xf>
    <xf numFmtId="4" fontId="4" fillId="6" borderId="63" xfId="0" applyNumberFormat="1" applyFont="1" applyFill="1" applyBorder="1"/>
    <xf numFmtId="2" fontId="4" fillId="2" borderId="0" xfId="0" applyNumberFormat="1" applyFont="1" applyFill="1" applyBorder="1"/>
    <xf numFmtId="4" fontId="4" fillId="4" borderId="61" xfId="0" applyNumberFormat="1" applyFont="1" applyFill="1" applyBorder="1"/>
    <xf numFmtId="10" fontId="1" fillId="4" borderId="0" xfId="0" applyNumberFormat="1" applyFont="1" applyFill="1" applyBorder="1"/>
    <xf numFmtId="0" fontId="1" fillId="5" borderId="0" xfId="0" applyFont="1" applyFill="1" applyBorder="1"/>
    <xf numFmtId="2" fontId="1" fillId="4" borderId="0" xfId="0" applyNumberFormat="1" applyFont="1" applyFill="1" applyBorder="1"/>
    <xf numFmtId="2" fontId="4" fillId="4" borderId="51" xfId="0" applyNumberFormat="1" applyFont="1" applyFill="1" applyBorder="1"/>
    <xf numFmtId="2" fontId="1" fillId="6" borderId="0" xfId="0" applyNumberFormat="1" applyFont="1" applyFill="1" applyBorder="1"/>
    <xf numFmtId="2" fontId="1" fillId="6" borderId="0" xfId="0" applyNumberFormat="1" applyFont="1" applyFill="1" applyBorder="1" applyAlignment="1">
      <alignment horizontal="right"/>
    </xf>
    <xf numFmtId="2" fontId="1" fillId="2" borderId="0" xfId="0" applyNumberFormat="1" applyFont="1" applyFill="1" applyBorder="1"/>
    <xf numFmtId="4" fontId="1" fillId="5" borderId="0" xfId="0" applyNumberFormat="1" applyFont="1" applyFill="1" applyBorder="1"/>
    <xf numFmtId="2" fontId="1" fillId="5" borderId="0" xfId="0" applyNumberFormat="1" applyFont="1" applyFill="1" applyBorder="1"/>
    <xf numFmtId="0" fontId="1" fillId="0" borderId="0" xfId="0" applyFont="1"/>
    <xf numFmtId="0" fontId="1" fillId="0" borderId="24" xfId="1" applyFont="1" applyBorder="1"/>
    <xf numFmtId="10" fontId="1" fillId="0" borderId="22" xfId="1" applyNumberFormat="1" applyFont="1" applyBorder="1"/>
    <xf numFmtId="10" fontId="1" fillId="0" borderId="23" xfId="1" applyNumberFormat="1" applyFont="1" applyBorder="1"/>
    <xf numFmtId="0" fontId="4" fillId="0" borderId="34" xfId="1" applyFont="1" applyBorder="1" applyAlignment="1">
      <alignment horizontal="center"/>
    </xf>
    <xf numFmtId="10" fontId="4" fillId="4" borderId="51" xfId="0" applyNumberFormat="1" applyFont="1" applyFill="1" applyBorder="1"/>
    <xf numFmtId="0" fontId="1" fillId="0" borderId="43" xfId="0" applyFont="1" applyBorder="1"/>
    <xf numFmtId="0" fontId="1" fillId="0" borderId="6" xfId="1" applyFont="1" applyBorder="1"/>
    <xf numFmtId="0" fontId="1" fillId="0" borderId="42" xfId="1" applyFont="1" applyBorder="1"/>
    <xf numFmtId="0" fontId="4" fillId="0" borderId="8" xfId="0" applyFont="1" applyBorder="1" applyAlignment="1">
      <alignment horizontal="center"/>
    </xf>
    <xf numFmtId="0" fontId="2" fillId="2" borderId="0" xfId="0" applyFont="1" applyFill="1" applyBorder="1" applyAlignment="1"/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/>
    <xf numFmtId="4" fontId="4" fillId="6" borderId="51" xfId="0" applyNumberFormat="1" applyFont="1" applyFill="1" applyBorder="1"/>
    <xf numFmtId="4" fontId="0" fillId="0" borderId="0" xfId="0" applyNumberFormat="1" applyBorder="1"/>
    <xf numFmtId="4" fontId="4" fillId="6" borderId="61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0" fillId="0" borderId="55" xfId="0" applyBorder="1" applyAlignment="1"/>
    <xf numFmtId="0" fontId="0" fillId="0" borderId="57" xfId="0" applyBorder="1" applyAlignment="1"/>
    <xf numFmtId="0" fontId="9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3" fillId="0" borderId="0" xfId="1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" fillId="0" borderId="4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7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4" fontId="4" fillId="0" borderId="62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10" borderId="0" xfId="0" applyFill="1" applyBorder="1" applyAlignment="1" applyProtection="1">
      <alignment horizontal="left"/>
      <protection locked="0"/>
    </xf>
    <xf numFmtId="0" fontId="0" fillId="10" borderId="0" xfId="0" applyFill="1" applyAlignment="1" applyProtection="1">
      <alignment horizontal="left"/>
      <protection locked="0"/>
    </xf>
    <xf numFmtId="0" fontId="4" fillId="2" borderId="0" xfId="0" applyFont="1" applyFill="1" applyBorder="1" applyAlignment="1"/>
    <xf numFmtId="0" fontId="0" fillId="0" borderId="0" xfId="0" applyAlignment="1"/>
    <xf numFmtId="0" fontId="1" fillId="8" borderId="0" xfId="0" applyNumberFormat="1" applyFont="1" applyFill="1" applyBorder="1" applyAlignment="1" applyProtection="1">
      <alignment horizontal="left"/>
      <protection locked="0"/>
    </xf>
    <xf numFmtId="0" fontId="1" fillId="8" borderId="0" xfId="0" applyFont="1" applyFill="1" applyAlignment="1" applyProtection="1">
      <alignment horizontal="left"/>
      <protection locked="0"/>
    </xf>
    <xf numFmtId="0" fontId="0" fillId="11" borderId="0" xfId="0" applyFill="1" applyBorder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9" borderId="0" xfId="0" applyFill="1" applyBorder="1" applyAlignment="1" applyProtection="1">
      <protection locked="0"/>
    </xf>
    <xf numFmtId="0" fontId="0" fillId="9" borderId="0" xfId="0" applyFill="1" applyAlignment="1" applyProtection="1">
      <protection locked="0"/>
    </xf>
    <xf numFmtId="0" fontId="0" fillId="0" borderId="50" xfId="0" applyBorder="1" applyAlignment="1">
      <alignment horizontal="left"/>
    </xf>
    <xf numFmtId="0" fontId="0" fillId="0" borderId="64" xfId="0" applyBorder="1" applyAlignment="1"/>
    <xf numFmtId="0" fontId="0" fillId="0" borderId="50" xfId="0" applyBorder="1" applyAlignment="1">
      <alignment horizontal="left" indent="1"/>
    </xf>
    <xf numFmtId="0" fontId="0" fillId="0" borderId="64" xfId="0" applyBorder="1" applyAlignment="1">
      <alignment horizontal="left" indent="1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Fill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</cellXfs>
  <cellStyles count="2">
    <cellStyle name="Normal" xfId="0" builtinId="0"/>
    <cellStyle name="Normal 2" xfId="1" xr:uid="{4744E51C-BF70-4988-9D93-F84F92DAF15C}"/>
  </cellStyles>
  <dxfs count="0"/>
  <tableStyles count="0" defaultTableStyle="TableStyleMedium9" defaultPivotStyle="PivotStyleLight16"/>
  <colors>
    <mruColors>
      <color rgb="FFFF9600"/>
      <color rgb="FFFFBE00"/>
      <color rgb="FFFFA000"/>
      <color rgb="FFFF8200"/>
      <color rgb="FFFF6400"/>
      <color rgb="FFFF7800"/>
      <color rgb="FFFFB400"/>
      <color rgb="FFFFCC00"/>
      <color rgb="FFFFCC1E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5"/>
  <sheetViews>
    <sheetView showGridLines="0" zoomScaleNormal="100" workbookViewId="0">
      <selection sqref="A1:F1"/>
    </sheetView>
  </sheetViews>
  <sheetFormatPr defaultColWidth="9" defaultRowHeight="15" x14ac:dyDescent="0.2"/>
  <cols>
    <col min="1" max="1" width="41.140625" style="1" customWidth="1"/>
    <col min="2" max="5" width="11.42578125" style="1" customWidth="1"/>
    <col min="6" max="6" width="9" style="1"/>
    <col min="7" max="7" width="12.85546875" style="1" bestFit="1" customWidth="1"/>
    <col min="8" max="16384" width="9" style="1"/>
  </cols>
  <sheetData>
    <row r="1" spans="1:5" ht="15.75" x14ac:dyDescent="0.25">
      <c r="A1" s="336"/>
      <c r="B1" s="31" t="s">
        <v>0</v>
      </c>
      <c r="C1" s="29" t="s">
        <v>2</v>
      </c>
      <c r="D1" s="92" t="s">
        <v>2</v>
      </c>
      <c r="E1" s="27" t="s">
        <v>2</v>
      </c>
    </row>
    <row r="2" spans="1:5" ht="15.75" x14ac:dyDescent="0.25">
      <c r="A2" s="337"/>
      <c r="B2" s="32" t="s">
        <v>1</v>
      </c>
      <c r="C2" s="30">
        <v>2020</v>
      </c>
      <c r="D2" s="93">
        <v>2021</v>
      </c>
      <c r="E2" s="28">
        <v>2022</v>
      </c>
    </row>
    <row r="3" spans="1:5" ht="15.75" x14ac:dyDescent="0.25">
      <c r="A3" s="102" t="s">
        <v>5</v>
      </c>
      <c r="B3" s="33"/>
      <c r="C3" s="15">
        <v>3.2</v>
      </c>
      <c r="D3" s="7">
        <v>3.2</v>
      </c>
      <c r="E3" s="37">
        <v>3.15</v>
      </c>
    </row>
    <row r="4" spans="1:5" x14ac:dyDescent="0.2">
      <c r="A4" s="334" t="s">
        <v>38</v>
      </c>
      <c r="B4" s="3"/>
      <c r="C4" s="3"/>
      <c r="D4" s="3"/>
      <c r="E4" s="35"/>
    </row>
    <row r="5" spans="1:5" x14ac:dyDescent="0.2">
      <c r="A5" s="341"/>
      <c r="B5" s="8"/>
      <c r="C5" s="8"/>
      <c r="D5" s="8"/>
      <c r="E5" s="36"/>
    </row>
    <row r="6" spans="1:5" ht="15.75" x14ac:dyDescent="0.25">
      <c r="A6" s="139" t="s">
        <v>132</v>
      </c>
      <c r="B6" s="118">
        <v>24936.79</v>
      </c>
      <c r="C6" s="25">
        <f>$C$3*160.33</f>
        <v>513.05600000000004</v>
      </c>
      <c r="D6" s="24">
        <f>$D$3*160.33</f>
        <v>513.05600000000004</v>
      </c>
      <c r="E6" s="26">
        <f>$E$3*160.33</f>
        <v>505.03950000000003</v>
      </c>
    </row>
    <row r="7" spans="1:5" ht="15.75" x14ac:dyDescent="0.25">
      <c r="A7" s="116" t="s">
        <v>56</v>
      </c>
      <c r="B7" s="140"/>
      <c r="C7" s="87"/>
      <c r="D7" s="16"/>
      <c r="E7" s="103"/>
    </row>
    <row r="8" spans="1:5" x14ac:dyDescent="0.2">
      <c r="A8" s="72" t="s">
        <v>45</v>
      </c>
      <c r="B8" s="141">
        <v>1033.8699999999999</v>
      </c>
      <c r="C8" s="87"/>
      <c r="D8" s="16"/>
      <c r="E8" s="103"/>
    </row>
    <row r="9" spans="1:5" x14ac:dyDescent="0.2">
      <c r="A9" s="72" t="s">
        <v>46</v>
      </c>
      <c r="B9" s="141">
        <v>2023.94</v>
      </c>
      <c r="C9" s="87"/>
      <c r="D9" s="16"/>
      <c r="E9" s="103"/>
    </row>
    <row r="10" spans="1:5" x14ac:dyDescent="0.2">
      <c r="A10" s="72" t="s">
        <v>47</v>
      </c>
      <c r="B10" s="141">
        <v>2453.65</v>
      </c>
      <c r="C10" s="87"/>
      <c r="D10" s="16"/>
      <c r="E10" s="103"/>
    </row>
    <row r="11" spans="1:5" ht="15.75" x14ac:dyDescent="0.25">
      <c r="A11" s="52" t="s">
        <v>57</v>
      </c>
      <c r="B11" s="20">
        <v>792</v>
      </c>
      <c r="C11" s="46"/>
      <c r="D11" s="2"/>
      <c r="E11" s="5"/>
    </row>
    <row r="12" spans="1:5" ht="15.75" x14ac:dyDescent="0.25">
      <c r="A12" s="52" t="s">
        <v>58</v>
      </c>
      <c r="B12" s="20">
        <v>112</v>
      </c>
      <c r="C12" s="15"/>
      <c r="D12" s="7"/>
      <c r="E12" s="37"/>
    </row>
    <row r="13" spans="1:5" ht="15.75" x14ac:dyDescent="0.25">
      <c r="A13" s="105" t="s">
        <v>55</v>
      </c>
      <c r="B13" s="19"/>
      <c r="C13" s="17"/>
      <c r="D13" s="2"/>
      <c r="E13" s="5"/>
    </row>
    <row r="14" spans="1:5" x14ac:dyDescent="0.2">
      <c r="A14" s="4" t="s">
        <v>70</v>
      </c>
      <c r="B14" s="21">
        <v>0</v>
      </c>
      <c r="C14" s="14"/>
      <c r="D14" s="9"/>
      <c r="E14" s="12"/>
    </row>
    <row r="15" spans="1:5" x14ac:dyDescent="0.2">
      <c r="A15" s="4" t="s">
        <v>71</v>
      </c>
      <c r="B15" s="21">
        <v>0</v>
      </c>
      <c r="C15" s="14"/>
      <c r="D15" s="9"/>
      <c r="E15" s="12"/>
    </row>
    <row r="16" spans="1:5" x14ac:dyDescent="0.2">
      <c r="A16" s="4" t="s">
        <v>72</v>
      </c>
      <c r="B16" s="21">
        <v>1052.1500000000001</v>
      </c>
      <c r="C16" s="14"/>
      <c r="D16" s="9"/>
      <c r="E16" s="12"/>
    </row>
    <row r="17" spans="1:5" x14ac:dyDescent="0.2">
      <c r="A17" s="4" t="s">
        <v>73</v>
      </c>
      <c r="B17" s="21">
        <v>1104.9000000000001</v>
      </c>
      <c r="C17" s="14"/>
      <c r="D17" s="9"/>
      <c r="E17" s="12"/>
    </row>
    <row r="18" spans="1:5" x14ac:dyDescent="0.2">
      <c r="A18" s="4" t="s">
        <v>74</v>
      </c>
      <c r="B18" s="21">
        <v>1104.9000000000001</v>
      </c>
      <c r="C18" s="14"/>
      <c r="D18" s="9"/>
      <c r="E18" s="12"/>
    </row>
    <row r="19" spans="1:5" x14ac:dyDescent="0.2">
      <c r="A19" s="4" t="s">
        <v>75</v>
      </c>
      <c r="B19" s="21">
        <v>1210.4000000000001</v>
      </c>
      <c r="C19" s="14"/>
      <c r="D19" s="9"/>
      <c r="E19" s="12"/>
    </row>
    <row r="20" spans="1:5" x14ac:dyDescent="0.2">
      <c r="A20" s="4" t="s">
        <v>76</v>
      </c>
      <c r="B20" s="21">
        <v>1210.4000000000001</v>
      </c>
      <c r="C20" s="14"/>
      <c r="D20" s="9"/>
      <c r="E20" s="12"/>
    </row>
    <row r="21" spans="1:5" x14ac:dyDescent="0.2">
      <c r="A21" s="4" t="s">
        <v>77</v>
      </c>
      <c r="B21" s="21">
        <v>1268.43</v>
      </c>
      <c r="C21" s="14"/>
      <c r="D21" s="9"/>
      <c r="E21" s="12"/>
    </row>
    <row r="22" spans="1:5" x14ac:dyDescent="0.2">
      <c r="A22" s="4" t="s">
        <v>78</v>
      </c>
      <c r="B22" s="21">
        <v>1268.43</v>
      </c>
      <c r="C22" s="14"/>
      <c r="D22" s="9"/>
      <c r="E22" s="12"/>
    </row>
    <row r="23" spans="1:5" x14ac:dyDescent="0.2">
      <c r="A23" s="4" t="s">
        <v>49</v>
      </c>
      <c r="B23" s="21">
        <v>1326.45</v>
      </c>
      <c r="C23" s="14"/>
      <c r="D23" s="9"/>
      <c r="E23" s="12"/>
    </row>
    <row r="24" spans="1:5" x14ac:dyDescent="0.2">
      <c r="A24" s="4" t="s">
        <v>50</v>
      </c>
      <c r="B24" s="21">
        <v>1326.45</v>
      </c>
      <c r="C24" s="14"/>
      <c r="D24" s="9"/>
      <c r="E24" s="12"/>
    </row>
    <row r="25" spans="1:5" x14ac:dyDescent="0.2">
      <c r="A25" s="4" t="s">
        <v>51</v>
      </c>
      <c r="B25" s="21">
        <v>1379.2</v>
      </c>
      <c r="C25" s="14"/>
      <c r="D25" s="9"/>
      <c r="E25" s="12"/>
    </row>
    <row r="26" spans="1:5" x14ac:dyDescent="0.2">
      <c r="A26" s="4" t="s">
        <v>52</v>
      </c>
      <c r="B26" s="21">
        <v>1379.2</v>
      </c>
      <c r="C26" s="14"/>
      <c r="D26" s="9"/>
      <c r="E26" s="12"/>
    </row>
    <row r="27" spans="1:5" x14ac:dyDescent="0.2">
      <c r="A27" s="6" t="s">
        <v>53</v>
      </c>
      <c r="B27" s="73">
        <v>1442.5</v>
      </c>
      <c r="C27" s="99"/>
      <c r="D27" s="100"/>
      <c r="E27" s="106"/>
    </row>
    <row r="28" spans="1:5" ht="15.75" x14ac:dyDescent="0.25">
      <c r="A28" s="168" t="s">
        <v>68</v>
      </c>
      <c r="B28" s="19"/>
      <c r="C28" s="14"/>
      <c r="D28" s="9"/>
      <c r="E28" s="12"/>
    </row>
    <row r="29" spans="1:5" x14ac:dyDescent="0.2">
      <c r="A29" s="107" t="s">
        <v>16</v>
      </c>
      <c r="B29" s="19"/>
      <c r="C29" s="14"/>
      <c r="D29" s="9"/>
      <c r="E29" s="12"/>
    </row>
    <row r="30" spans="1:5" ht="15.75" x14ac:dyDescent="0.25">
      <c r="A30" s="175" t="s">
        <v>54</v>
      </c>
      <c r="B30" s="19"/>
      <c r="C30" s="14"/>
      <c r="D30" s="9"/>
      <c r="E30" s="12"/>
    </row>
    <row r="31" spans="1:5" x14ac:dyDescent="0.2">
      <c r="A31" s="107" t="s">
        <v>79</v>
      </c>
      <c r="B31" s="21">
        <v>0</v>
      </c>
      <c r="C31" s="14">
        <f>Resultat!C29-Resultat!B29</f>
        <v>0</v>
      </c>
      <c r="D31" s="14">
        <f>Resultat!D29-Resultat!C29</f>
        <v>0</v>
      </c>
      <c r="E31" s="14">
        <f>Resultat!E29-Resultat!D29</f>
        <v>0</v>
      </c>
    </row>
    <row r="32" spans="1:5" x14ac:dyDescent="0.2">
      <c r="A32" s="107" t="s">
        <v>80</v>
      </c>
      <c r="B32" s="21">
        <v>984.34</v>
      </c>
      <c r="C32" s="14">
        <f>Resultat!C30-Resultat!B30</f>
        <v>15.75</v>
      </c>
      <c r="D32" s="14">
        <f>Resultat!D30-Resultat!C30</f>
        <v>16</v>
      </c>
      <c r="E32" s="14">
        <f>Resultat!E30-Resultat!D30</f>
        <v>16.260000000000105</v>
      </c>
    </row>
    <row r="33" spans="1:5" x14ac:dyDescent="0.2">
      <c r="A33" s="107" t="s">
        <v>81</v>
      </c>
      <c r="B33" s="21">
        <v>2400.88</v>
      </c>
      <c r="C33" s="14">
        <f>Resultat!C31-Resultat!B31</f>
        <v>38.409999999999854</v>
      </c>
      <c r="D33" s="14">
        <f>Resultat!D31-Resultat!C31</f>
        <v>39.0300000000002</v>
      </c>
      <c r="E33" s="14">
        <f>Resultat!E31-Resultat!D31</f>
        <v>39.650000000000091</v>
      </c>
    </row>
    <row r="34" spans="1:5" x14ac:dyDescent="0.2">
      <c r="A34" s="107" t="s">
        <v>82</v>
      </c>
      <c r="B34" s="21">
        <v>2512.69</v>
      </c>
      <c r="C34" s="14">
        <f>Resultat!C32-Resultat!B32</f>
        <v>40.199999999999818</v>
      </c>
      <c r="D34" s="14">
        <f>Resultat!D32-Resultat!C32</f>
        <v>40.849999999999909</v>
      </c>
      <c r="E34" s="14">
        <f>Resultat!E32-Resultat!D32</f>
        <v>41.5</v>
      </c>
    </row>
    <row r="35" spans="1:5" x14ac:dyDescent="0.2">
      <c r="A35" s="107" t="s">
        <v>83</v>
      </c>
      <c r="B35" s="21">
        <v>2959.67</v>
      </c>
      <c r="C35" s="14">
        <f>Resultat!C33-Resultat!B33</f>
        <v>47.349999999999909</v>
      </c>
      <c r="D35" s="14">
        <f>Resultat!D33-Resultat!C33</f>
        <v>48.110000000000127</v>
      </c>
      <c r="E35" s="14">
        <f>Resultat!E33-Resultat!D33</f>
        <v>48.880000000000109</v>
      </c>
    </row>
    <row r="36" spans="1:5" x14ac:dyDescent="0.2">
      <c r="A36" s="107" t="s">
        <v>84</v>
      </c>
      <c r="B36" s="21">
        <v>3432.78</v>
      </c>
      <c r="C36" s="14">
        <f>Resultat!C34-Resultat!B34</f>
        <v>54.920000000000073</v>
      </c>
      <c r="D36" s="14">
        <f>Resultat!D34-Resultat!C34</f>
        <v>55.800000000000182</v>
      </c>
      <c r="E36" s="14">
        <f>Resultat!E34-Resultat!D34</f>
        <v>56.699999999999818</v>
      </c>
    </row>
    <row r="37" spans="1:5" x14ac:dyDescent="0.2">
      <c r="A37" s="107" t="s">
        <v>85</v>
      </c>
      <c r="B37" s="21">
        <v>3790.73</v>
      </c>
      <c r="C37" s="14">
        <f>Resultat!C35-Resultat!B35</f>
        <v>60.650000000000091</v>
      </c>
      <c r="D37" s="14">
        <f>Resultat!D35-Resultat!C35</f>
        <v>61.619999999999891</v>
      </c>
      <c r="E37" s="14">
        <f>Resultat!E35-Resultat!D35</f>
        <v>62.610000000000127</v>
      </c>
    </row>
    <row r="38" spans="1:5" x14ac:dyDescent="0.2">
      <c r="A38" s="208" t="s">
        <v>86</v>
      </c>
      <c r="B38" s="21">
        <v>4144.84</v>
      </c>
      <c r="C38" s="14">
        <f>Resultat!C36-Resultat!B36</f>
        <v>66.319999999999709</v>
      </c>
      <c r="D38" s="14">
        <f>Resultat!D36-Resultat!C36</f>
        <v>67.380000000000109</v>
      </c>
      <c r="E38" s="14">
        <f>Resultat!E36-Resultat!D36</f>
        <v>68.460000000000036</v>
      </c>
    </row>
    <row r="39" spans="1:5" x14ac:dyDescent="0.2">
      <c r="A39" s="208" t="s">
        <v>87</v>
      </c>
      <c r="B39" s="21">
        <v>4156.83</v>
      </c>
      <c r="C39" s="14">
        <f>Resultat!C37-Resultat!B37</f>
        <v>66.510000000000218</v>
      </c>
      <c r="D39" s="14">
        <f>Resultat!D37-Resultat!C37</f>
        <v>67.569999999999709</v>
      </c>
      <c r="E39" s="14">
        <f>Resultat!E37-Resultat!D37</f>
        <v>68.649999999999636</v>
      </c>
    </row>
    <row r="40" spans="1:5" x14ac:dyDescent="0.2">
      <c r="A40" s="208" t="s">
        <v>88</v>
      </c>
      <c r="B40" s="21">
        <v>4148.68</v>
      </c>
      <c r="C40" s="14">
        <f>Resultat!C38-Resultat!B38</f>
        <v>66.380000000000109</v>
      </c>
      <c r="D40" s="14">
        <f>Resultat!D38-Resultat!C38</f>
        <v>67.4399999999996</v>
      </c>
      <c r="E40" s="14">
        <f>Resultat!E38-Resultat!D38</f>
        <v>68.520000000000437</v>
      </c>
    </row>
    <row r="41" spans="1:5" x14ac:dyDescent="0.2">
      <c r="A41" s="208" t="s">
        <v>89</v>
      </c>
      <c r="B41" s="21">
        <v>4140.7</v>
      </c>
      <c r="C41" s="14">
        <f>Resultat!C39-Resultat!B39</f>
        <v>66.25</v>
      </c>
      <c r="D41" s="14">
        <f>Resultat!D39-Resultat!C39</f>
        <v>67.3100000000004</v>
      </c>
      <c r="E41" s="14">
        <f>Resultat!E39-Resultat!D39</f>
        <v>68.390000000000327</v>
      </c>
    </row>
    <row r="42" spans="1:5" x14ac:dyDescent="0.2">
      <c r="A42" s="208" t="s">
        <v>90</v>
      </c>
      <c r="B42" s="21">
        <v>4194.51</v>
      </c>
      <c r="C42" s="14">
        <f>Resultat!C40-Resultat!B40</f>
        <v>67.109999999999673</v>
      </c>
      <c r="D42" s="14">
        <f>Resultat!D40-Resultat!C40</f>
        <v>68.1899999999996</v>
      </c>
      <c r="E42" s="14">
        <f>Resultat!E40-Resultat!D40</f>
        <v>69.279999999999745</v>
      </c>
    </row>
    <row r="43" spans="1:5" x14ac:dyDescent="0.2">
      <c r="A43" s="107" t="s">
        <v>91</v>
      </c>
      <c r="B43" s="21">
        <v>3229.26</v>
      </c>
      <c r="C43" s="14">
        <f>Resultat!C41-Resultat!B41</f>
        <v>51.670000000000073</v>
      </c>
      <c r="D43" s="14">
        <f>Resultat!D41-Resultat!C41</f>
        <v>52.489999999999782</v>
      </c>
      <c r="E43" s="14">
        <f>Resultat!E41-Resultat!D41</f>
        <v>53.329999999999927</v>
      </c>
    </row>
    <row r="44" spans="1:5" x14ac:dyDescent="0.2">
      <c r="A44" s="107" t="s">
        <v>92</v>
      </c>
      <c r="B44" s="21">
        <v>2200.64</v>
      </c>
      <c r="C44" s="14">
        <f>Resultat!C42-Resultat!B42</f>
        <v>35.210000000000036</v>
      </c>
      <c r="D44" s="14">
        <f>Resultat!D42-Resultat!C42</f>
        <v>35.769999999999982</v>
      </c>
      <c r="E44" s="14">
        <f>Resultat!E42-Resultat!D42</f>
        <v>36.349999999999909</v>
      </c>
    </row>
    <row r="45" spans="1:5" x14ac:dyDescent="0.2">
      <c r="A45" s="107" t="s">
        <v>93</v>
      </c>
      <c r="B45" s="21">
        <v>2103.36</v>
      </c>
      <c r="C45" s="14">
        <f>Resultat!C43-Resultat!B43</f>
        <v>33.650000000000091</v>
      </c>
      <c r="D45" s="14">
        <f>Resultat!D43-Resultat!C43</f>
        <v>34.190000000000055</v>
      </c>
      <c r="E45" s="14">
        <f>Resultat!E43-Resultat!D43</f>
        <v>34.739999999999782</v>
      </c>
    </row>
    <row r="46" spans="1:5" x14ac:dyDescent="0.2">
      <c r="A46" s="107" t="s">
        <v>17</v>
      </c>
      <c r="B46" s="21">
        <v>4154.0200000000004</v>
      </c>
      <c r="C46" s="14">
        <f>Resultat!C44-Resultat!B44</f>
        <v>66.460000000000036</v>
      </c>
      <c r="D46" s="14">
        <f>Resultat!D44-Resultat!C44</f>
        <v>67.529999999999745</v>
      </c>
      <c r="E46" s="14">
        <f>Resultat!E44-Resultat!D44</f>
        <v>68.609999999999673</v>
      </c>
    </row>
    <row r="47" spans="1:5" x14ac:dyDescent="0.2">
      <c r="A47" s="107" t="s">
        <v>18</v>
      </c>
      <c r="B47" s="21">
        <v>3992.89</v>
      </c>
      <c r="C47" s="14">
        <f>Resultat!C45-Resultat!B45</f>
        <v>63.889999999999873</v>
      </c>
      <c r="D47" s="14">
        <f>Resultat!D45-Resultat!C45</f>
        <v>64.909999999999854</v>
      </c>
      <c r="E47" s="14">
        <f>Resultat!E45-Resultat!D45</f>
        <v>65.949999999999818</v>
      </c>
    </row>
    <row r="48" spans="1:5" x14ac:dyDescent="0.2">
      <c r="A48" s="107" t="s">
        <v>19</v>
      </c>
      <c r="B48" s="21">
        <v>3968.61</v>
      </c>
      <c r="C48" s="14">
        <f>Resultat!C46-Resultat!B46</f>
        <v>63.5</v>
      </c>
      <c r="D48" s="14">
        <f>Resultat!D46-Resultat!C46</f>
        <v>64.509999999999764</v>
      </c>
      <c r="E48" s="14">
        <f>Resultat!E46-Resultat!D46</f>
        <v>65.550000000000182</v>
      </c>
    </row>
    <row r="49" spans="1:5" x14ac:dyDescent="0.2">
      <c r="A49" s="110" t="s">
        <v>20</v>
      </c>
      <c r="B49" s="21">
        <v>3928.67</v>
      </c>
      <c r="C49" s="14">
        <f>Resultat!C47-Resultat!B47</f>
        <v>62.860000000000127</v>
      </c>
      <c r="D49" s="14">
        <f>Resultat!D47-Resultat!C47</f>
        <v>63.860000000000127</v>
      </c>
      <c r="E49" s="14">
        <f>Resultat!E47-Resultat!D47</f>
        <v>64.890000000000327</v>
      </c>
    </row>
    <row r="50" spans="1:5" ht="15.75" x14ac:dyDescent="0.25">
      <c r="A50" s="122" t="s">
        <v>59</v>
      </c>
      <c r="B50" s="44">
        <v>2.5000000000000001E-2</v>
      </c>
      <c r="C50" s="123"/>
      <c r="D50" s="124"/>
      <c r="E50" s="125"/>
    </row>
    <row r="51" spans="1:5" ht="15.75" x14ac:dyDescent="0.25">
      <c r="A51" s="121" t="s">
        <v>60</v>
      </c>
      <c r="B51" s="45">
        <v>0.04</v>
      </c>
      <c r="C51" s="88">
        <v>0.01</v>
      </c>
      <c r="D51" s="94">
        <v>0.01</v>
      </c>
      <c r="E51" s="80">
        <v>0.01</v>
      </c>
    </row>
    <row r="52" spans="1:5" x14ac:dyDescent="0.2">
      <c r="A52" s="342" t="s">
        <v>39</v>
      </c>
      <c r="B52" s="3"/>
      <c r="C52" s="3"/>
      <c r="D52" s="3"/>
      <c r="E52" s="35"/>
    </row>
    <row r="53" spans="1:5" x14ac:dyDescent="0.2">
      <c r="A53" s="343"/>
      <c r="B53" s="8"/>
      <c r="C53" s="8"/>
      <c r="D53" s="8"/>
      <c r="E53" s="36"/>
    </row>
    <row r="54" spans="1:5" ht="15.75" x14ac:dyDescent="0.25">
      <c r="A54" s="139" t="str">
        <f>$A$6</f>
        <v>Grundløn, pr. måned</v>
      </c>
      <c r="B54" s="118">
        <v>24737.07</v>
      </c>
      <c r="C54" s="25">
        <f>$C$3*160.33</f>
        <v>513.05600000000004</v>
      </c>
      <c r="D54" s="24">
        <f>$D$3*160.33</f>
        <v>513.05600000000004</v>
      </c>
      <c r="E54" s="26">
        <f>$E$3*160.33</f>
        <v>505.03950000000003</v>
      </c>
    </row>
    <row r="55" spans="1:5" ht="15.75" x14ac:dyDescent="0.25">
      <c r="A55" s="119" t="str">
        <f>$A$7</f>
        <v>Kvalifikationsløn</v>
      </c>
      <c r="B55" s="19">
        <v>792.74</v>
      </c>
      <c r="C55" s="17"/>
      <c r="D55" s="2"/>
      <c r="E55" s="5"/>
    </row>
    <row r="56" spans="1:5" ht="15.75" x14ac:dyDescent="0.25">
      <c r="A56" s="109" t="str">
        <f>$A$11</f>
        <v>Reddertillæg</v>
      </c>
      <c r="B56" s="19">
        <f>$B$11</f>
        <v>792</v>
      </c>
      <c r="C56" s="17"/>
      <c r="D56" s="2"/>
      <c r="E56" s="5"/>
    </row>
    <row r="57" spans="1:5" ht="15.75" x14ac:dyDescent="0.25">
      <c r="A57" s="215" t="str">
        <f>$A$12</f>
        <v>Særligt tillæg</v>
      </c>
      <c r="B57" s="19">
        <f>$B$12</f>
        <v>112</v>
      </c>
      <c r="C57" s="17"/>
      <c r="D57" s="2"/>
      <c r="E57" s="5"/>
    </row>
    <row r="58" spans="1:5" ht="15.75" x14ac:dyDescent="0.25">
      <c r="A58" s="215" t="str">
        <f>$A$13</f>
        <v>Anciennitetstillæg</v>
      </c>
      <c r="B58" s="19"/>
      <c r="C58" s="17"/>
      <c r="D58" s="2"/>
      <c r="E58" s="5"/>
    </row>
    <row r="59" spans="1:5" x14ac:dyDescent="0.2">
      <c r="A59" s="107" t="s">
        <v>107</v>
      </c>
      <c r="B59" s="19">
        <v>753.56</v>
      </c>
      <c r="C59" s="17"/>
      <c r="D59" s="2"/>
      <c r="E59" s="5"/>
    </row>
    <row r="60" spans="1:5" x14ac:dyDescent="0.2">
      <c r="A60" s="107" t="s">
        <v>108</v>
      </c>
      <c r="B60" s="19">
        <v>833.72</v>
      </c>
      <c r="C60" s="17"/>
      <c r="D60" s="2"/>
      <c r="E60" s="5"/>
    </row>
    <row r="61" spans="1:5" x14ac:dyDescent="0.2">
      <c r="A61" s="107" t="s">
        <v>109</v>
      </c>
      <c r="B61" s="19">
        <v>921.91</v>
      </c>
      <c r="C61" s="17"/>
      <c r="D61" s="2"/>
      <c r="E61" s="5"/>
    </row>
    <row r="62" spans="1:5" ht="15.75" x14ac:dyDescent="0.25">
      <c r="A62" s="215" t="str">
        <f>A28</f>
        <v>Geneløn ekskl. helligdagstillæg</v>
      </c>
      <c r="B62" s="19"/>
      <c r="C62" s="14"/>
      <c r="D62" s="9"/>
      <c r="E62" s="12"/>
    </row>
    <row r="63" spans="1:5" x14ac:dyDescent="0.2">
      <c r="A63" s="107" t="str">
        <f t="shared" ref="A63:A64" si="0">A29</f>
        <v>Gældende for hovedvagter</v>
      </c>
      <c r="B63" s="19"/>
      <c r="C63" s="14"/>
      <c r="D63" s="9"/>
      <c r="E63" s="12"/>
    </row>
    <row r="64" spans="1:5" ht="15.75" x14ac:dyDescent="0.25">
      <c r="A64" s="215" t="str">
        <f t="shared" si="0"/>
        <v>Vagtordning</v>
      </c>
      <c r="B64" s="19"/>
      <c r="C64" s="14"/>
      <c r="D64" s="9"/>
      <c r="E64" s="12"/>
    </row>
    <row r="65" spans="1:5" x14ac:dyDescent="0.2">
      <c r="A65" s="107" t="s">
        <v>79</v>
      </c>
      <c r="B65" s="21">
        <v>0</v>
      </c>
      <c r="C65" s="77">
        <f>Resultat!C65-Resultat!B65</f>
        <v>0</v>
      </c>
      <c r="D65" s="14">
        <f>Resultat!D65-Resultat!C65</f>
        <v>0</v>
      </c>
      <c r="E65" s="178">
        <f>Resultat!E65-Resultat!D65</f>
        <v>0</v>
      </c>
    </row>
    <row r="66" spans="1:5" x14ac:dyDescent="0.2">
      <c r="A66" s="107" t="s">
        <v>80</v>
      </c>
      <c r="B66" s="21">
        <v>1078.0899999999999</v>
      </c>
      <c r="C66" s="77">
        <f>Resultat!C66-Resultat!B66</f>
        <v>17.25</v>
      </c>
      <c r="D66" s="14">
        <f>Resultat!D66-Resultat!C66</f>
        <v>17.529999999999973</v>
      </c>
      <c r="E66" s="178">
        <f>Resultat!E66-Resultat!D66</f>
        <v>17.809999999999945</v>
      </c>
    </row>
    <row r="67" spans="1:5" x14ac:dyDescent="0.2">
      <c r="A67" s="107" t="s">
        <v>81</v>
      </c>
      <c r="B67" s="21">
        <v>2612.08</v>
      </c>
      <c r="C67" s="77">
        <f>Resultat!C67-Resultat!B67</f>
        <v>41.789999999999964</v>
      </c>
      <c r="D67" s="14">
        <f>Resultat!D67-Resultat!C67</f>
        <v>42.460000000000036</v>
      </c>
      <c r="E67" s="178">
        <f>Resultat!E67-Resultat!D67</f>
        <v>43.139999999999873</v>
      </c>
    </row>
    <row r="68" spans="1:5" x14ac:dyDescent="0.2">
      <c r="A68" s="107" t="s">
        <v>82</v>
      </c>
      <c r="B68" s="21">
        <v>2500.25</v>
      </c>
      <c r="C68" s="77">
        <f>Resultat!C68-Resultat!B68</f>
        <v>40</v>
      </c>
      <c r="D68" s="14">
        <f>Resultat!D68-Resultat!C68</f>
        <v>40.639999999999873</v>
      </c>
      <c r="E68" s="178">
        <f>Resultat!E68-Resultat!D68</f>
        <v>41.289999999999964</v>
      </c>
    </row>
    <row r="69" spans="1:5" x14ac:dyDescent="0.2">
      <c r="A69" s="107" t="s">
        <v>83</v>
      </c>
      <c r="B69" s="21">
        <v>2986.45</v>
      </c>
      <c r="C69" s="77">
        <f>Resultat!C69-Resultat!B69</f>
        <v>47.7800000000002</v>
      </c>
      <c r="D69" s="14">
        <f>Resultat!D69-Resultat!C69</f>
        <v>48.550000000000182</v>
      </c>
      <c r="E69" s="178">
        <f>Resultat!E69-Resultat!D69</f>
        <v>49.320000000000164</v>
      </c>
    </row>
    <row r="70" spans="1:5" x14ac:dyDescent="0.2">
      <c r="A70" s="107" t="s">
        <v>84</v>
      </c>
      <c r="B70" s="21">
        <v>3612.32</v>
      </c>
      <c r="C70" s="77">
        <f>Resultat!C70-Resultat!B70</f>
        <v>57.800000000000182</v>
      </c>
      <c r="D70" s="14">
        <f>Resultat!D70-Resultat!C70</f>
        <v>58.7199999999998</v>
      </c>
      <c r="E70" s="178">
        <f>Resultat!E70-Resultat!D70</f>
        <v>59.659999999999854</v>
      </c>
    </row>
    <row r="71" spans="1:5" x14ac:dyDescent="0.2">
      <c r="A71" s="107" t="s">
        <v>120</v>
      </c>
      <c r="B71" s="21">
        <v>3790.73</v>
      </c>
      <c r="C71" s="77">
        <f>Resultat!C71-Resultat!B71</f>
        <v>60.650000000000091</v>
      </c>
      <c r="D71" s="14">
        <f>Resultat!D71-Resultat!C71</f>
        <v>61.619999999999891</v>
      </c>
      <c r="E71" s="178">
        <f>Resultat!E71-Resultat!D71</f>
        <v>62.610000000000127</v>
      </c>
    </row>
    <row r="72" spans="1:5" x14ac:dyDescent="0.2">
      <c r="A72" s="107" t="s">
        <v>91</v>
      </c>
      <c r="B72" s="21">
        <v>3254.15</v>
      </c>
      <c r="C72" s="77">
        <f>Resultat!C72-Resultat!B72</f>
        <v>52.070000000000164</v>
      </c>
      <c r="D72" s="14">
        <f>Resultat!D72-Resultat!C72</f>
        <v>52.900000000000091</v>
      </c>
      <c r="E72" s="178">
        <f>Resultat!E72-Resultat!D72</f>
        <v>53.75</v>
      </c>
    </row>
    <row r="73" spans="1:5" x14ac:dyDescent="0.2">
      <c r="A73" s="107" t="s">
        <v>121</v>
      </c>
      <c r="B73" s="21">
        <v>2345.42</v>
      </c>
      <c r="C73" s="77">
        <f>Resultat!C73-Resultat!B73</f>
        <v>37.5300000000002</v>
      </c>
      <c r="D73" s="14">
        <f>Resultat!D73-Resultat!C73</f>
        <v>38.130000000000109</v>
      </c>
      <c r="E73" s="178">
        <f>Resultat!E73-Resultat!D73</f>
        <v>38.739999999999782</v>
      </c>
    </row>
    <row r="74" spans="1:5" x14ac:dyDescent="0.2">
      <c r="A74" s="107" t="s">
        <v>122</v>
      </c>
      <c r="B74" s="21">
        <v>2280.1799999999998</v>
      </c>
      <c r="C74" s="77">
        <f>Resultat!C74-Resultat!B74</f>
        <v>36.480000000000018</v>
      </c>
      <c r="D74" s="14">
        <f>Resultat!D74-Resultat!C74</f>
        <v>37.070000000000164</v>
      </c>
      <c r="E74" s="178">
        <f>Resultat!E74-Resultat!D74</f>
        <v>37.659999999999854</v>
      </c>
    </row>
    <row r="75" spans="1:5" x14ac:dyDescent="0.2">
      <c r="A75" s="110" t="s">
        <v>20</v>
      </c>
      <c r="B75" s="21">
        <v>3928.67</v>
      </c>
      <c r="C75" s="77">
        <f>Resultat!C75-Resultat!B75</f>
        <v>62.860000000000127</v>
      </c>
      <c r="D75" s="14">
        <f>Resultat!D75-Resultat!C75</f>
        <v>63.860000000000127</v>
      </c>
      <c r="E75" s="178">
        <f>Resultat!E75-Resultat!D75</f>
        <v>64.890000000000327</v>
      </c>
    </row>
    <row r="76" spans="1:5" ht="15.75" x14ac:dyDescent="0.25">
      <c r="A76" s="122" t="str">
        <f>$A$50</f>
        <v>Ferietillæg</v>
      </c>
      <c r="B76" s="44">
        <f>$B$50</f>
        <v>2.5000000000000001E-2</v>
      </c>
      <c r="C76" s="123"/>
      <c r="D76" s="124"/>
      <c r="E76" s="125"/>
    </row>
    <row r="77" spans="1:5" ht="15.75" customHeight="1" x14ac:dyDescent="0.25">
      <c r="A77" s="122" t="str">
        <f>$A$51</f>
        <v>Særlig opsparing, inkl. feriepenge</v>
      </c>
      <c r="B77" s="44">
        <f>$B$51</f>
        <v>0.04</v>
      </c>
      <c r="C77" s="88">
        <f>$C$51</f>
        <v>0.01</v>
      </c>
      <c r="D77" s="134">
        <f>$D$51</f>
        <v>0.01</v>
      </c>
      <c r="E77" s="80">
        <f>$E$51</f>
        <v>0.01</v>
      </c>
    </row>
    <row r="78" spans="1:5" x14ac:dyDescent="0.2">
      <c r="A78" s="334" t="s">
        <v>23</v>
      </c>
      <c r="B78" s="3"/>
      <c r="C78" s="3"/>
      <c r="D78" s="3"/>
      <c r="E78" s="35"/>
    </row>
    <row r="79" spans="1:5" x14ac:dyDescent="0.2">
      <c r="A79" s="335"/>
      <c r="B79" s="8"/>
      <c r="C79" s="8"/>
      <c r="D79" s="8"/>
      <c r="E79" s="36"/>
    </row>
    <row r="80" spans="1:5" ht="15.75" x14ac:dyDescent="0.25">
      <c r="A80" s="139" t="str">
        <f>$A$6</f>
        <v>Grundløn, pr. måned</v>
      </c>
      <c r="B80" s="118">
        <v>24737.07</v>
      </c>
      <c r="C80" s="25">
        <f>$C$3*160.33</f>
        <v>513.05600000000004</v>
      </c>
      <c r="D80" s="24">
        <f>$D$3*160.33</f>
        <v>513.05600000000004</v>
      </c>
      <c r="E80" s="26">
        <f>$E$3*160.33</f>
        <v>505.03950000000003</v>
      </c>
    </row>
    <row r="81" spans="1:5" ht="15.75" x14ac:dyDescent="0.25">
      <c r="A81" s="119" t="str">
        <f>$A$7</f>
        <v>Kvalifikationsløn</v>
      </c>
      <c r="B81" s="19">
        <v>680</v>
      </c>
      <c r="C81" s="17"/>
      <c r="D81" s="2"/>
      <c r="E81" s="5"/>
    </row>
    <row r="82" spans="1:5" ht="15.75" x14ac:dyDescent="0.25">
      <c r="A82" s="215" t="str">
        <f>$A$11</f>
        <v>Reddertillæg</v>
      </c>
      <c r="B82" s="19">
        <f>$B$11</f>
        <v>792</v>
      </c>
      <c r="C82" s="17"/>
      <c r="D82" s="2"/>
      <c r="E82" s="5"/>
    </row>
    <row r="83" spans="1:5" ht="15.75" x14ac:dyDescent="0.25">
      <c r="A83" s="215" t="str">
        <f>$A$12</f>
        <v>Særligt tillæg</v>
      </c>
      <c r="B83" s="19">
        <f>$B$12</f>
        <v>112</v>
      </c>
      <c r="C83" s="17"/>
      <c r="D83" s="2"/>
      <c r="E83" s="5"/>
    </row>
    <row r="84" spans="1:5" ht="15.75" x14ac:dyDescent="0.25">
      <c r="A84" s="215" t="str">
        <f>$A$13</f>
        <v>Anciennitetstillæg</v>
      </c>
      <c r="B84" s="19"/>
      <c r="C84" s="17"/>
      <c r="D84" s="2"/>
      <c r="E84" s="5"/>
    </row>
    <row r="85" spans="1:5" x14ac:dyDescent="0.2">
      <c r="A85" s="107" t="str">
        <f>$A$59</f>
        <v>01. Efter 1 år</v>
      </c>
      <c r="B85" s="19">
        <f>B59</f>
        <v>753.56</v>
      </c>
      <c r="C85" s="17"/>
      <c r="D85" s="2"/>
      <c r="E85" s="5"/>
    </row>
    <row r="86" spans="1:5" x14ac:dyDescent="0.2">
      <c r="A86" s="107" t="str">
        <f>$A$60</f>
        <v>02. Efter 3 år</v>
      </c>
      <c r="B86" s="19">
        <f>B60</f>
        <v>833.72</v>
      </c>
      <c r="C86" s="17"/>
      <c r="D86" s="2"/>
      <c r="E86" s="5"/>
    </row>
    <row r="87" spans="1:5" x14ac:dyDescent="0.2">
      <c r="A87" s="107" t="str">
        <f>$A$61</f>
        <v>02. Efter 5 år</v>
      </c>
      <c r="B87" s="19">
        <f>B61</f>
        <v>921.91</v>
      </c>
      <c r="C87" s="17"/>
      <c r="D87" s="2"/>
      <c r="E87" s="5"/>
    </row>
    <row r="88" spans="1:5" ht="15.75" x14ac:dyDescent="0.25">
      <c r="A88" s="122" t="str">
        <f>$A$50</f>
        <v>Ferietillæg</v>
      </c>
      <c r="B88" s="44">
        <v>0.01</v>
      </c>
      <c r="C88" s="126"/>
      <c r="D88" s="127"/>
      <c r="E88" s="125"/>
    </row>
    <row r="89" spans="1:5" ht="15.75" x14ac:dyDescent="0.25">
      <c r="A89" s="122" t="str">
        <f>$A$51</f>
        <v>Særlig opsparing, inkl. feriepenge</v>
      </c>
      <c r="B89" s="45">
        <v>0.03</v>
      </c>
      <c r="C89" s="88">
        <f>$C$51</f>
        <v>0.01</v>
      </c>
      <c r="D89" s="134">
        <f>$D$51</f>
        <v>0.01</v>
      </c>
      <c r="E89" s="80">
        <f>$E$51</f>
        <v>0.01</v>
      </c>
    </row>
    <row r="90" spans="1:5" x14ac:dyDescent="0.2">
      <c r="A90" s="334" t="s">
        <v>24</v>
      </c>
      <c r="B90" s="22"/>
      <c r="C90" s="142"/>
      <c r="D90" s="142"/>
      <c r="E90" s="143"/>
    </row>
    <row r="91" spans="1:5" x14ac:dyDescent="0.2">
      <c r="A91" s="335"/>
      <c r="B91" s="38"/>
      <c r="C91" s="144"/>
      <c r="D91" s="144"/>
      <c r="E91" s="145"/>
    </row>
    <row r="92" spans="1:5" ht="15.75" x14ac:dyDescent="0.25">
      <c r="A92" s="139" t="str">
        <f>$A$6</f>
        <v>Grundløn, pr. måned</v>
      </c>
      <c r="B92" s="118">
        <v>24437.07</v>
      </c>
      <c r="C92" s="25">
        <f>$C$3*160.33</f>
        <v>513.05600000000004</v>
      </c>
      <c r="D92" s="24">
        <f>$D$3*160.33</f>
        <v>513.05600000000004</v>
      </c>
      <c r="E92" s="26">
        <f>$E$3*160.33</f>
        <v>505.03950000000003</v>
      </c>
    </row>
    <row r="93" spans="1:5" ht="15.75" x14ac:dyDescent="0.25">
      <c r="A93" s="119" t="str">
        <f>$A$7</f>
        <v>Kvalifikationsløn</v>
      </c>
      <c r="B93" s="19">
        <v>278.64</v>
      </c>
      <c r="C93" s="17"/>
      <c r="D93" s="2"/>
      <c r="E93" s="5"/>
    </row>
    <row r="94" spans="1:5" ht="15.75" x14ac:dyDescent="0.25">
      <c r="A94" s="215" t="str">
        <f>$A$13</f>
        <v>Anciennitetstillæg</v>
      </c>
      <c r="B94" s="19"/>
      <c r="C94" s="17"/>
      <c r="D94" s="2"/>
      <c r="E94" s="5"/>
    </row>
    <row r="95" spans="1:5" x14ac:dyDescent="0.2">
      <c r="A95" s="107" t="s">
        <v>110</v>
      </c>
      <c r="B95" s="19">
        <v>250</v>
      </c>
      <c r="C95" s="17"/>
      <c r="D95" s="2"/>
      <c r="E95" s="5"/>
    </row>
    <row r="96" spans="1:5" x14ac:dyDescent="0.2">
      <c r="A96" s="107" t="s">
        <v>109</v>
      </c>
      <c r="B96" s="19">
        <v>650</v>
      </c>
      <c r="C96" s="17"/>
      <c r="D96" s="2"/>
      <c r="E96" s="5"/>
    </row>
    <row r="97" spans="1:5" ht="15.75" x14ac:dyDescent="0.25">
      <c r="A97" s="122" t="str">
        <f>$A$50</f>
        <v>Ferietillæg</v>
      </c>
      <c r="B97" s="44">
        <v>0.01</v>
      </c>
      <c r="C97" s="126"/>
      <c r="D97" s="127"/>
      <c r="E97" s="125"/>
    </row>
    <row r="98" spans="1:5" ht="15.75" customHeight="1" x14ac:dyDescent="0.25">
      <c r="A98" s="122" t="str">
        <f>$A$51</f>
        <v>Særlig opsparing, inkl. feriepenge</v>
      </c>
      <c r="B98" s="44">
        <v>0.02</v>
      </c>
      <c r="C98" s="88">
        <f>$C$51</f>
        <v>0.01</v>
      </c>
      <c r="D98" s="134">
        <f>$D$51</f>
        <v>0.01</v>
      </c>
      <c r="E98" s="80">
        <f>$E$51</f>
        <v>0.01</v>
      </c>
    </row>
    <row r="99" spans="1:5" ht="15.75" customHeight="1" x14ac:dyDescent="0.2">
      <c r="A99" s="344" t="s">
        <v>116</v>
      </c>
      <c r="B99" s="245"/>
      <c r="C99" s="245"/>
      <c r="D99" s="245"/>
      <c r="E99" s="246"/>
    </row>
    <row r="100" spans="1:5" x14ac:dyDescent="0.2">
      <c r="A100" s="345"/>
      <c r="B100" s="247"/>
      <c r="C100" s="247"/>
      <c r="D100" s="247"/>
      <c r="E100" s="248"/>
    </row>
    <row r="101" spans="1:5" ht="15.75" x14ac:dyDescent="0.25">
      <c r="A101" s="139" t="str">
        <f>$A$6</f>
        <v>Grundløn, pr. måned</v>
      </c>
      <c r="B101" s="118">
        <v>24737.07</v>
      </c>
      <c r="C101" s="25">
        <f>$C$3*160.33</f>
        <v>513.05600000000004</v>
      </c>
      <c r="D101" s="24">
        <f>$D$3*160.33</f>
        <v>513.05600000000004</v>
      </c>
      <c r="E101" s="26">
        <f>$E$3*160.33</f>
        <v>505.03950000000003</v>
      </c>
    </row>
    <row r="102" spans="1:5" ht="15.75" x14ac:dyDescent="0.25">
      <c r="A102" s="119" t="str">
        <f>$A$7</f>
        <v>Kvalifikationsløn</v>
      </c>
      <c r="B102" s="19">
        <v>792.74</v>
      </c>
      <c r="C102" s="17"/>
      <c r="D102" s="2"/>
      <c r="E102" s="5"/>
    </row>
    <row r="103" spans="1:5" ht="15.75" x14ac:dyDescent="0.25">
      <c r="A103" s="338" t="s">
        <v>37</v>
      </c>
      <c r="B103" s="339"/>
      <c r="C103" s="339"/>
      <c r="D103" s="339"/>
      <c r="E103" s="340"/>
    </row>
    <row r="104" spans="1:5" ht="15.75" x14ac:dyDescent="0.25">
      <c r="A104" s="215" t="str">
        <f>$A$11</f>
        <v>Reddertillæg</v>
      </c>
      <c r="B104" s="19">
        <f>$B$11</f>
        <v>792</v>
      </c>
      <c r="C104" s="17"/>
      <c r="D104" s="2"/>
      <c r="E104" s="5"/>
    </row>
    <row r="105" spans="1:5" ht="15.75" x14ac:dyDescent="0.25">
      <c r="A105" s="215" t="str">
        <f>$A$12</f>
        <v>Særligt tillæg</v>
      </c>
      <c r="B105" s="19">
        <f>$B$12</f>
        <v>112</v>
      </c>
      <c r="C105" s="17"/>
      <c r="D105" s="2"/>
      <c r="E105" s="5"/>
    </row>
    <row r="106" spans="1:5" ht="15.75" x14ac:dyDescent="0.25">
      <c r="A106" s="215" t="str">
        <f>$A$13</f>
        <v>Anciennitetstillæg</v>
      </c>
      <c r="B106" s="19"/>
      <c r="C106" s="17"/>
      <c r="D106" s="2"/>
      <c r="E106" s="5"/>
    </row>
    <row r="107" spans="1:5" x14ac:dyDescent="0.2">
      <c r="A107" s="107" t="str">
        <f>$A$59</f>
        <v>01. Efter 1 år</v>
      </c>
      <c r="B107" s="19">
        <v>753.56</v>
      </c>
      <c r="C107" s="17"/>
      <c r="D107" s="2"/>
      <c r="E107" s="5"/>
    </row>
    <row r="108" spans="1:5" x14ac:dyDescent="0.2">
      <c r="A108" s="107" t="str">
        <f>$A$60</f>
        <v>02. Efter 3 år</v>
      </c>
      <c r="B108" s="19">
        <v>833.72</v>
      </c>
      <c r="C108" s="17"/>
      <c r="D108" s="2"/>
      <c r="E108" s="5"/>
    </row>
    <row r="109" spans="1:5" x14ac:dyDescent="0.2">
      <c r="A109" s="107" t="str">
        <f>$A$61</f>
        <v>02. Efter 5 år</v>
      </c>
      <c r="B109" s="19">
        <v>921.91</v>
      </c>
      <c r="C109" s="17"/>
      <c r="D109" s="2"/>
      <c r="E109" s="5"/>
    </row>
    <row r="110" spans="1:5" ht="15.75" x14ac:dyDescent="0.25">
      <c r="A110" s="122" t="str">
        <f>$A$50</f>
        <v>Ferietillæg</v>
      </c>
      <c r="B110" s="44">
        <v>0.01</v>
      </c>
      <c r="C110" s="126"/>
      <c r="D110" s="127"/>
      <c r="E110" s="125"/>
    </row>
    <row r="111" spans="1:5" ht="15.75" x14ac:dyDescent="0.25">
      <c r="A111" s="122" t="str">
        <f>$A$51</f>
        <v>Særlig opsparing, inkl. feriepenge</v>
      </c>
      <c r="B111" s="45">
        <v>0.03</v>
      </c>
      <c r="C111" s="88">
        <f>$C$51</f>
        <v>0.01</v>
      </c>
      <c r="D111" s="134">
        <f>$D$51</f>
        <v>0.01</v>
      </c>
      <c r="E111" s="80">
        <f>$E$51</f>
        <v>0.01</v>
      </c>
    </row>
    <row r="112" spans="1:5" ht="15.75" x14ac:dyDescent="0.25">
      <c r="A112" s="249" t="s">
        <v>105</v>
      </c>
      <c r="B112" s="3"/>
      <c r="C112" s="3"/>
      <c r="D112" s="3"/>
      <c r="E112" s="35"/>
    </row>
    <row r="113" spans="1:5" x14ac:dyDescent="0.2">
      <c r="A113" s="250" t="s">
        <v>106</v>
      </c>
      <c r="B113" s="8"/>
      <c r="C113" s="8"/>
      <c r="D113" s="8"/>
      <c r="E113" s="36"/>
    </row>
    <row r="114" spans="1:5" ht="15.75" x14ac:dyDescent="0.25">
      <c r="A114" s="139" t="str">
        <f>$A$6</f>
        <v>Grundløn, pr. måned</v>
      </c>
      <c r="B114" s="118">
        <v>25980.69</v>
      </c>
      <c r="C114" s="25">
        <f>$C$3*160.33</f>
        <v>513.05600000000004</v>
      </c>
      <c r="D114" s="24">
        <f>$D$3*160.33</f>
        <v>513.05600000000004</v>
      </c>
      <c r="E114" s="26">
        <f>$E$3*160.33</f>
        <v>505.03950000000003</v>
      </c>
    </row>
    <row r="115" spans="1:5" ht="15.75" x14ac:dyDescent="0.25">
      <c r="A115" s="119" t="str">
        <f>$A$7</f>
        <v>Kvalifikationsløn</v>
      </c>
      <c r="B115" s="19">
        <v>792.74</v>
      </c>
      <c r="C115" s="17"/>
      <c r="D115" s="2"/>
      <c r="E115" s="5"/>
    </row>
    <row r="116" spans="1:5" ht="15.75" x14ac:dyDescent="0.25">
      <c r="A116" s="215" t="str">
        <f>$A$13</f>
        <v>Anciennitetstillæg</v>
      </c>
      <c r="B116" s="19"/>
      <c r="C116" s="17"/>
      <c r="D116" s="2"/>
      <c r="E116" s="5"/>
    </row>
    <row r="117" spans="1:5" x14ac:dyDescent="0.2">
      <c r="A117" s="107" t="str">
        <f>$A$59</f>
        <v>01. Efter 1 år</v>
      </c>
      <c r="B117" s="21">
        <v>930.61</v>
      </c>
      <c r="C117" s="17"/>
      <c r="D117" s="2"/>
      <c r="E117" s="5"/>
    </row>
    <row r="118" spans="1:5" x14ac:dyDescent="0.2">
      <c r="A118" s="107" t="str">
        <f>$A$60</f>
        <v>02. Efter 3 år</v>
      </c>
      <c r="B118" s="21">
        <v>980.61</v>
      </c>
      <c r="C118" s="17"/>
      <c r="D118" s="2"/>
      <c r="E118" s="5"/>
    </row>
    <row r="119" spans="1:5" x14ac:dyDescent="0.2">
      <c r="A119" s="107" t="str">
        <f>$A$61</f>
        <v>02. Efter 5 år</v>
      </c>
      <c r="B119" s="21">
        <v>1080.6099999999999</v>
      </c>
      <c r="C119" s="17"/>
      <c r="D119" s="2"/>
      <c r="E119" s="5"/>
    </row>
    <row r="120" spans="1:5" x14ac:dyDescent="0.2">
      <c r="A120" s="107" t="s">
        <v>111</v>
      </c>
      <c r="B120" s="21">
        <v>1135.6099999999999</v>
      </c>
      <c r="C120" s="17"/>
      <c r="D120" s="2"/>
      <c r="E120" s="5"/>
    </row>
    <row r="121" spans="1:5" x14ac:dyDescent="0.2">
      <c r="A121" s="107" t="s">
        <v>112</v>
      </c>
      <c r="B121" s="21">
        <v>1190.6099999999999</v>
      </c>
      <c r="C121" s="17"/>
      <c r="D121" s="2"/>
      <c r="E121" s="5"/>
    </row>
    <row r="122" spans="1:5" x14ac:dyDescent="0.2">
      <c r="A122" s="107" t="s">
        <v>113</v>
      </c>
      <c r="B122" s="21">
        <v>1250.6099999999999</v>
      </c>
      <c r="C122" s="17"/>
      <c r="D122" s="2"/>
      <c r="E122" s="5"/>
    </row>
    <row r="123" spans="1:5" x14ac:dyDescent="0.2">
      <c r="A123" s="107" t="s">
        <v>114</v>
      </c>
      <c r="B123" s="21">
        <v>1300.6099999999999</v>
      </c>
      <c r="C123" s="17"/>
      <c r="D123" s="2"/>
      <c r="E123" s="5"/>
    </row>
    <row r="124" spans="1:5" ht="15.75" x14ac:dyDescent="0.25">
      <c r="A124" s="122" t="str">
        <f>$A$50</f>
        <v>Ferietillæg</v>
      </c>
      <c r="B124" s="44">
        <v>0.02</v>
      </c>
      <c r="C124" s="126"/>
      <c r="D124" s="127"/>
      <c r="E124" s="125"/>
    </row>
    <row r="125" spans="1:5" ht="15.75" x14ac:dyDescent="0.25">
      <c r="A125" s="122" t="str">
        <f>$A$51</f>
        <v>Særlig opsparing, inkl. feriepenge</v>
      </c>
      <c r="B125" s="44">
        <f>$B$51</f>
        <v>0.04</v>
      </c>
      <c r="C125" s="88">
        <f>$C$51</f>
        <v>0.01</v>
      </c>
      <c r="D125" s="134">
        <f>$D$51</f>
        <v>0.01</v>
      </c>
      <c r="E125" s="80">
        <f>$E$51</f>
        <v>0.01</v>
      </c>
    </row>
    <row r="126" spans="1:5" x14ac:dyDescent="0.2">
      <c r="A126" s="334" t="s">
        <v>61</v>
      </c>
      <c r="B126" s="22"/>
      <c r="C126" s="142"/>
      <c r="D126" s="142"/>
      <c r="E126" s="143"/>
    </row>
    <row r="127" spans="1:5" x14ac:dyDescent="0.2">
      <c r="A127" s="335"/>
      <c r="B127" s="8"/>
      <c r="C127" s="8"/>
      <c r="D127" s="8"/>
      <c r="E127" s="36"/>
    </row>
    <row r="128" spans="1:5" ht="15.75" x14ac:dyDescent="0.25">
      <c r="A128" s="119" t="s">
        <v>62</v>
      </c>
      <c r="B128" s="18"/>
      <c r="C128" s="16"/>
      <c r="D128" s="120"/>
      <c r="E128" s="95"/>
    </row>
    <row r="129" spans="1:5" ht="30" x14ac:dyDescent="0.2">
      <c r="A129" s="107" t="s">
        <v>6</v>
      </c>
      <c r="B129" s="19">
        <v>233.49</v>
      </c>
      <c r="C129" s="17"/>
      <c r="D129" s="2"/>
      <c r="E129" s="5"/>
    </row>
    <row r="130" spans="1:5" ht="45" x14ac:dyDescent="0.2">
      <c r="A130" s="107" t="s">
        <v>7</v>
      </c>
      <c r="B130" s="19">
        <v>27.2</v>
      </c>
      <c r="C130" s="17"/>
      <c r="D130" s="2"/>
      <c r="E130" s="5"/>
    </row>
    <row r="131" spans="1:5" ht="45" x14ac:dyDescent="0.2">
      <c r="A131" s="107" t="s">
        <v>8</v>
      </c>
      <c r="B131" s="19">
        <v>3.91</v>
      </c>
      <c r="C131" s="17"/>
      <c r="D131" s="2"/>
      <c r="E131" s="5"/>
    </row>
    <row r="132" spans="1:5" x14ac:dyDescent="0.2">
      <c r="A132" s="107" t="s">
        <v>9</v>
      </c>
      <c r="B132" s="19">
        <v>7.72</v>
      </c>
      <c r="C132" s="17"/>
      <c r="D132" s="2"/>
      <c r="E132" s="5"/>
    </row>
    <row r="133" spans="1:5" ht="30" x14ac:dyDescent="0.2">
      <c r="A133" s="110" t="s">
        <v>10</v>
      </c>
      <c r="B133" s="20">
        <v>1100</v>
      </c>
      <c r="C133" s="111"/>
      <c r="D133" s="7"/>
      <c r="E133" s="37"/>
    </row>
    <row r="134" spans="1:5" ht="15.75" x14ac:dyDescent="0.25">
      <c r="A134" s="109" t="s">
        <v>63</v>
      </c>
      <c r="B134" s="19"/>
      <c r="C134" s="112">
        <v>1.6E-2</v>
      </c>
      <c r="D134" s="113">
        <v>1.6E-2</v>
      </c>
      <c r="E134" s="114">
        <v>1.6E-2</v>
      </c>
    </row>
    <row r="135" spans="1:5" ht="15.75" x14ac:dyDescent="0.25">
      <c r="A135" s="109" t="s">
        <v>64</v>
      </c>
      <c r="B135" s="19"/>
      <c r="C135" s="17"/>
      <c r="D135" s="2"/>
      <c r="E135" s="5"/>
    </row>
    <row r="136" spans="1:5" x14ac:dyDescent="0.2">
      <c r="A136" s="107" t="s">
        <v>11</v>
      </c>
      <c r="B136" s="19">
        <v>0</v>
      </c>
      <c r="C136" s="17"/>
      <c r="D136" s="2"/>
      <c r="E136" s="5"/>
    </row>
    <row r="137" spans="1:5" x14ac:dyDescent="0.2">
      <c r="A137" s="107" t="s">
        <v>12</v>
      </c>
      <c r="B137" s="19">
        <v>20.74</v>
      </c>
      <c r="C137" s="17">
        <f>ROUND(B137*$C$134,2)</f>
        <v>0.33</v>
      </c>
      <c r="D137" s="2">
        <f>ROUND((B137+C137)*$D$134,2)</f>
        <v>0.34</v>
      </c>
      <c r="E137" s="5">
        <f>ROUND((B137+C137+D137)*$E$134,2)</f>
        <v>0.34</v>
      </c>
    </row>
    <row r="138" spans="1:5" x14ac:dyDescent="0.2">
      <c r="A138" s="107" t="s">
        <v>13</v>
      </c>
      <c r="B138" s="19">
        <v>38</v>
      </c>
      <c r="C138" s="17">
        <f>ROUND(B138*$C$134,2)</f>
        <v>0.61</v>
      </c>
      <c r="D138" s="2">
        <f>ROUND((B138+C138)*$D$134,2)</f>
        <v>0.62</v>
      </c>
      <c r="E138" s="5">
        <f>ROUND((B138+C138+D138)*$E$134,2)</f>
        <v>0.63</v>
      </c>
    </row>
    <row r="139" spans="1:5" ht="15.75" x14ac:dyDescent="0.25">
      <c r="A139" s="109" t="s">
        <v>65</v>
      </c>
      <c r="B139" s="19"/>
      <c r="C139" s="17"/>
      <c r="D139" s="2"/>
      <c r="E139" s="5"/>
    </row>
    <row r="140" spans="1:5" x14ac:dyDescent="0.2">
      <c r="A140" s="107" t="s">
        <v>14</v>
      </c>
      <c r="B140" s="19">
        <v>55.26</v>
      </c>
      <c r="C140" s="17">
        <f t="shared" ref="C140:C141" si="1">ROUND(B140*$C$134,2)</f>
        <v>0.88</v>
      </c>
      <c r="D140" s="2">
        <f t="shared" ref="D140:D141" si="2">ROUND((B140+C140)*$D$134,2)</f>
        <v>0.9</v>
      </c>
      <c r="E140" s="5">
        <f t="shared" ref="E140:E141" si="3">ROUND((B140+C140+D140)*$E$134,2)</f>
        <v>0.91</v>
      </c>
    </row>
    <row r="141" spans="1:5" x14ac:dyDescent="0.2">
      <c r="A141" s="107" t="s">
        <v>15</v>
      </c>
      <c r="B141" s="19">
        <v>47.56</v>
      </c>
      <c r="C141" s="17">
        <f t="shared" si="1"/>
        <v>0.76</v>
      </c>
      <c r="D141" s="2">
        <f t="shared" si="2"/>
        <v>0.77</v>
      </c>
      <c r="E141" s="5">
        <f t="shared" si="3"/>
        <v>0.79</v>
      </c>
    </row>
    <row r="142" spans="1:5" ht="15.75" x14ac:dyDescent="0.25">
      <c r="A142" s="151" t="s">
        <v>66</v>
      </c>
      <c r="B142" s="155"/>
      <c r="C142" s="153"/>
      <c r="D142" s="148"/>
      <c r="E142" s="149"/>
    </row>
    <row r="143" spans="1:5" x14ac:dyDescent="0.2">
      <c r="A143" s="89" t="s">
        <v>21</v>
      </c>
      <c r="B143" s="156">
        <v>0.08</v>
      </c>
      <c r="C143" s="152"/>
      <c r="D143" s="146"/>
      <c r="E143" s="147"/>
    </row>
    <row r="144" spans="1:5" x14ac:dyDescent="0.2">
      <c r="A144" s="82" t="s">
        <v>22</v>
      </c>
      <c r="B144" s="164">
        <v>0.04</v>
      </c>
      <c r="C144" s="165"/>
      <c r="D144" s="166"/>
      <c r="E144" s="167"/>
    </row>
    <row r="145" spans="1:5" ht="15.75" x14ac:dyDescent="0.25">
      <c r="A145" s="51" t="s">
        <v>67</v>
      </c>
      <c r="B145" s="50">
        <v>0.12</v>
      </c>
      <c r="C145" s="49"/>
      <c r="D145" s="47"/>
      <c r="E145" s="48"/>
    </row>
  </sheetData>
  <sheetProtection algorithmName="SHA-512" hashValue="w6R3tXSbMnz0uhIpOFIX80vJLsMDM0G1xTtWqm/I6UOGOQKsnjVmR6Mbueg/Vw53eAINdYPiP23nYWK/gaCIyw==" saltValue="NpiWIyVLdoX5hnVh0iY8lQ==" spinCount="100000" sheet="1" objects="1" scenarios="1"/>
  <mergeCells count="8">
    <mergeCell ref="A126:A127"/>
    <mergeCell ref="A1:A2"/>
    <mergeCell ref="A103:E103"/>
    <mergeCell ref="A4:A5"/>
    <mergeCell ref="A52:A53"/>
    <mergeCell ref="A78:A79"/>
    <mergeCell ref="A90:A91"/>
    <mergeCell ref="A99:A100"/>
  </mergeCells>
  <phoneticPr fontId="0" type="noConversion"/>
  <printOptions horizontalCentered="1"/>
  <pageMargins left="0.78740157480314965" right="0.78740157480314965" top="1.3779527559055118" bottom="0.39370078740157483" header="0.59055118110236227" footer="0.19685039370078741"/>
  <pageSetup paperSize="9" orientation="portrait" r:id="rId1"/>
  <headerFooter alignWithMargins="0">
    <oddHeader>&amp;L&amp;"Arial,Fed"&amp;16 3F&amp;C&amp;"Arial,Fed"&amp;16Redderoverenskomster 2020-2023
&amp;A&amp;R&amp;"Arial,Fed"&amp;16DEA</oddHeader>
    <oddFooter>&amp;L&amp;9&amp;F&amp;R&amp;9&amp;D, kl. &amp;T</oddFooter>
  </headerFooter>
  <rowBreaks count="1" manualBreakCount="1">
    <brk id="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9B01-EF80-4E2E-B9A5-383F73A63447}">
  <dimension ref="A1:J33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4"/>
      <c r="C1" s="374"/>
      <c r="D1" s="374"/>
      <c r="E1" s="374"/>
      <c r="F1" s="374"/>
    </row>
    <row r="2" spans="1:10" ht="20.25" x14ac:dyDescent="0.3">
      <c r="A2" s="385" t="str">
        <f>'B. Ambulance'!A2</f>
        <v>mellem DEA for Falck/Responce og 3F</v>
      </c>
      <c r="B2" s="374"/>
      <c r="C2" s="374"/>
      <c r="D2" s="374"/>
      <c r="E2" s="374"/>
      <c r="F2" s="374"/>
    </row>
    <row r="3" spans="1:10" ht="20.25" x14ac:dyDescent="0.3">
      <c r="A3" s="385" t="s">
        <v>31</v>
      </c>
      <c r="B3" s="374"/>
      <c r="C3" s="374"/>
      <c r="D3" s="374"/>
      <c r="E3" s="374"/>
      <c r="F3" s="374"/>
    </row>
    <row r="4" spans="1:10" ht="20.25" x14ac:dyDescent="0.3">
      <c r="A4" s="385" t="str">
        <f>'B. Ambulance'!A4</f>
        <v>1. marts 2020 til 28. februar 2023</v>
      </c>
      <c r="B4" s="374"/>
      <c r="C4" s="374"/>
      <c r="D4" s="374"/>
      <c r="E4" s="374"/>
      <c r="F4" s="374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32</v>
      </c>
      <c r="C7" s="135"/>
      <c r="D7" s="135"/>
      <c r="E7" s="136"/>
      <c r="F7" s="136"/>
      <c r="G7" s="135"/>
      <c r="H7" s="135"/>
      <c r="I7" s="135"/>
      <c r="J7" s="135"/>
    </row>
    <row r="9" spans="1:10" ht="15.75" x14ac:dyDescent="0.25">
      <c r="A9" s="64"/>
      <c r="B9" s="65" t="str">
        <f>'B. Ambulance'!B11</f>
        <v>1. marts 2020</v>
      </c>
      <c r="C9" s="65"/>
      <c r="D9" s="65" t="str">
        <f>'B. Ambulance'!D11</f>
        <v>1. marts 2021</v>
      </c>
      <c r="E9" s="65"/>
      <c r="F9" s="65" t="str">
        <f>'B. Ambulance'!F11</f>
        <v>1. marts 2022</v>
      </c>
    </row>
    <row r="10" spans="1:10" ht="15.75" x14ac:dyDescent="0.25">
      <c r="A10" s="64" t="str">
        <f>Resultat!A96</f>
        <v>Grundløn, pr. måned</v>
      </c>
      <c r="B10" s="62">
        <f>Resultat!C96</f>
        <v>23747.64</v>
      </c>
      <c r="C10" s="62"/>
      <c r="D10" s="62">
        <f>Resultat!D96</f>
        <v>24260.7</v>
      </c>
      <c r="E10" s="62"/>
      <c r="F10" s="62">
        <f>Resultat!E96</f>
        <v>24765.74</v>
      </c>
    </row>
    <row r="11" spans="1:10" ht="15.75" x14ac:dyDescent="0.25">
      <c r="A11" s="64" t="str">
        <f>Resultat!A97</f>
        <v>Kvalifikationsløn</v>
      </c>
      <c r="B11" s="62">
        <f>Resultat!C97</f>
        <v>278.64</v>
      </c>
      <c r="C11" s="62"/>
      <c r="D11" s="62">
        <f>Resultat!D97</f>
        <v>278.64</v>
      </c>
      <c r="E11" s="62"/>
      <c r="F11" s="62">
        <f>Resultat!E97</f>
        <v>278.64</v>
      </c>
    </row>
    <row r="12" spans="1:10" ht="15" customHeight="1" x14ac:dyDescent="0.25">
      <c r="A12" s="64"/>
      <c r="B12" s="62"/>
      <c r="C12" s="62"/>
      <c r="D12" s="62"/>
      <c r="E12" s="62"/>
      <c r="F12" s="62"/>
    </row>
    <row r="13" spans="1:10" ht="15.75" x14ac:dyDescent="0.25">
      <c r="A13" s="64" t="str">
        <f>Resultat!A10</f>
        <v>Anciennitetstillæg</v>
      </c>
      <c r="B13" s="85" t="str">
        <f>$B$9</f>
        <v>1. marts 2020</v>
      </c>
      <c r="C13" s="85"/>
      <c r="D13" s="85" t="str">
        <f>$D$9</f>
        <v>1. marts 2021</v>
      </c>
      <c r="E13" s="85"/>
      <c r="F13" s="85" t="str">
        <f>$F$9</f>
        <v>1. marts 2022</v>
      </c>
    </row>
    <row r="14" spans="1:10" x14ac:dyDescent="0.2">
      <c r="A14" s="66" t="str">
        <f>Resultat!A99</f>
        <v>01. Efter 3 år</v>
      </c>
      <c r="B14" s="62">
        <f>Resultat!C99</f>
        <v>250</v>
      </c>
      <c r="C14" s="62"/>
      <c r="D14" s="62">
        <f>Resultat!D99</f>
        <v>250</v>
      </c>
      <c r="E14" s="62"/>
      <c r="F14" s="62">
        <f>Resultat!E99</f>
        <v>250</v>
      </c>
    </row>
    <row r="15" spans="1:10" x14ac:dyDescent="0.2">
      <c r="A15" s="66" t="str">
        <f>Resultat!A100</f>
        <v>02. Efter 5 år</v>
      </c>
      <c r="B15" s="62">
        <f>Resultat!C100</f>
        <v>650</v>
      </c>
      <c r="C15" s="62"/>
      <c r="D15" s="62">
        <f>Resultat!D100</f>
        <v>650</v>
      </c>
      <c r="E15" s="62"/>
      <c r="F15" s="62">
        <f>Resultat!E100</f>
        <v>650</v>
      </c>
    </row>
    <row r="16" spans="1:10" x14ac:dyDescent="0.2">
      <c r="A16" s="67"/>
      <c r="B16" s="71"/>
      <c r="C16" s="71"/>
      <c r="D16" s="71"/>
      <c r="E16" s="71"/>
      <c r="F16" s="71"/>
    </row>
    <row r="17" spans="1:6" ht="15" customHeight="1" x14ac:dyDescent="0.25">
      <c r="A17" s="67"/>
      <c r="B17" s="85" t="str">
        <f>$B$9</f>
        <v>1. marts 2020</v>
      </c>
      <c r="C17" s="85"/>
      <c r="D17" s="85" t="str">
        <f>$D$9</f>
        <v>1. marts 2021</v>
      </c>
      <c r="E17" s="85"/>
      <c r="F17" s="85" t="str">
        <f>$F$9</f>
        <v>1. marts 2022</v>
      </c>
    </row>
    <row r="18" spans="1:6" ht="15" customHeight="1" x14ac:dyDescent="0.25">
      <c r="A18" s="69" t="str">
        <f>Resultat!A101</f>
        <v>Ferietillæg</v>
      </c>
      <c r="B18" s="63">
        <f>Resultat!C101</f>
        <v>0.01</v>
      </c>
      <c r="C18" s="63"/>
      <c r="D18" s="63">
        <f>Resultat!D101</f>
        <v>0.01</v>
      </c>
      <c r="E18" s="63"/>
      <c r="F18" s="63">
        <f>Resultat!E101</f>
        <v>0.01</v>
      </c>
    </row>
    <row r="19" spans="1:6" ht="15" customHeight="1" x14ac:dyDescent="0.25">
      <c r="A19" s="69" t="str">
        <f>Resultat!A102</f>
        <v>Særlig opsparing, inkl. feriepenge</v>
      </c>
      <c r="B19" s="63">
        <f>Resultat!C102</f>
        <v>0.03</v>
      </c>
      <c r="C19" s="63"/>
      <c r="D19" s="63">
        <f>Resultat!D102</f>
        <v>0.04</v>
      </c>
      <c r="E19" s="63"/>
      <c r="F19" s="63">
        <f>Resultat!E102</f>
        <v>0.05</v>
      </c>
    </row>
    <row r="20" spans="1:6" ht="15" customHeight="1" x14ac:dyDescent="0.25">
      <c r="A20" s="69"/>
      <c r="B20" s="63"/>
      <c r="C20" s="63"/>
      <c r="D20" s="63"/>
      <c r="E20" s="63"/>
      <c r="F20" s="63"/>
    </row>
    <row r="21" spans="1:6" ht="15" customHeight="1" x14ac:dyDescent="0.25">
      <c r="A21" s="70" t="str">
        <f>Stigninger!A142</f>
        <v>Pension</v>
      </c>
      <c r="B21" s="85" t="str">
        <f>$B$9</f>
        <v>1. marts 2020</v>
      </c>
      <c r="C21" s="85"/>
      <c r="D21" s="85" t="str">
        <f>$D$9</f>
        <v>1. marts 2021</v>
      </c>
      <c r="E21" s="85"/>
      <c r="F21" s="85" t="str">
        <f>$F$9</f>
        <v>1. marts 2022</v>
      </c>
    </row>
    <row r="22" spans="1:6" ht="15" customHeight="1" x14ac:dyDescent="0.2">
      <c r="A22" s="68" t="str">
        <f>Stigninger!A143</f>
        <v>Arbejdsgivers bidrag</v>
      </c>
      <c r="B22" s="63">
        <f>Resultat!C153</f>
        <v>0.08</v>
      </c>
      <c r="C22" s="63"/>
      <c r="D22" s="63">
        <f>Resultat!D153</f>
        <v>0.08</v>
      </c>
      <c r="E22" s="63"/>
      <c r="F22" s="63">
        <f>D22+Stigninger!E143</f>
        <v>0.08</v>
      </c>
    </row>
    <row r="23" spans="1:6" ht="15" customHeight="1" x14ac:dyDescent="0.2">
      <c r="A23" s="68" t="str">
        <f>Stigninger!A144</f>
        <v>Lønmodtagers bidrag</v>
      </c>
      <c r="B23" s="63">
        <f>Resultat!C154</f>
        <v>0.04</v>
      </c>
      <c r="C23" s="63"/>
      <c r="D23" s="63">
        <f>Resultat!D154</f>
        <v>0.04</v>
      </c>
      <c r="E23" s="63"/>
      <c r="F23" s="63">
        <f>D23+Stigninger!E144</f>
        <v>0.04</v>
      </c>
    </row>
    <row r="24" spans="1:6" ht="16.5" customHeight="1" thickBot="1" x14ac:dyDescent="0.3">
      <c r="A24" s="64" t="str">
        <f>Stigninger!A145</f>
        <v>Pensionsbidrag i alt</v>
      </c>
      <c r="B24" s="83">
        <f>SUM(B22:B23)</f>
        <v>0.12</v>
      </c>
      <c r="C24" s="84"/>
      <c r="D24" s="83">
        <f>SUM(D22:D23)</f>
        <v>0.12</v>
      </c>
      <c r="E24" s="84"/>
      <c r="F24" s="83">
        <f>SUM(F22:F23)</f>
        <v>0.12</v>
      </c>
    </row>
    <row r="25" spans="1:6" ht="15" customHeight="1" thickTop="1" x14ac:dyDescent="0.2">
      <c r="A25" s="67"/>
      <c r="B25" s="71"/>
      <c r="C25" s="71"/>
      <c r="D25" s="71"/>
      <c r="E25" s="71"/>
      <c r="F25" s="71"/>
    </row>
    <row r="26" spans="1:6" ht="15.75" x14ac:dyDescent="0.25">
      <c r="A26" s="174" t="str">
        <f>Resultat!A144</f>
        <v>Genetillæg pr. time</v>
      </c>
      <c r="B26" s="85" t="str">
        <f>$B$9</f>
        <v>1. marts 2020</v>
      </c>
      <c r="C26" s="85"/>
      <c r="D26" s="85" t="str">
        <f>$D$9</f>
        <v>1. marts 2021</v>
      </c>
      <c r="E26" s="85"/>
      <c r="F26" s="85" t="str">
        <f>$F$9</f>
        <v>1. marts 2022</v>
      </c>
    </row>
    <row r="27" spans="1:6" ht="15.75" x14ac:dyDescent="0.25">
      <c r="A27" s="174" t="str">
        <f>Resultat!A145</f>
        <v>Hverdage</v>
      </c>
    </row>
    <row r="28" spans="1:6" x14ac:dyDescent="0.2">
      <c r="A28" s="173" t="str">
        <f>Resultat!A146</f>
        <v>Dag – kl. 07.00 til kl. 18.00</v>
      </c>
      <c r="B28" s="71">
        <f>Resultat!C146</f>
        <v>0</v>
      </c>
      <c r="C28" s="71"/>
      <c r="D28" s="71">
        <f>Resultat!D146</f>
        <v>0</v>
      </c>
      <c r="E28" s="71"/>
      <c r="F28" s="71">
        <f>Resultat!E146</f>
        <v>0</v>
      </c>
    </row>
    <row r="29" spans="1:6" x14ac:dyDescent="0.2">
      <c r="A29" s="173" t="str">
        <f>Resultat!A147</f>
        <v>Aften – kl. 18.00 til kl. 24.00</v>
      </c>
      <c r="B29" s="71">
        <f>Resultat!C147</f>
        <v>21.07</v>
      </c>
      <c r="C29" s="71"/>
      <c r="D29" s="71">
        <f>Resultat!D147</f>
        <v>21.41</v>
      </c>
      <c r="E29" s="71"/>
      <c r="F29" s="71">
        <f>Resultat!E147</f>
        <v>21.75</v>
      </c>
    </row>
    <row r="30" spans="1:6" x14ac:dyDescent="0.2">
      <c r="A30" s="173" t="str">
        <f>Resultat!A148</f>
        <v>Nat – kl. 24.00 til kl. 07.00</v>
      </c>
      <c r="B30" s="71">
        <f>Resultat!C148</f>
        <v>38.61</v>
      </c>
      <c r="C30" s="71"/>
      <c r="D30" s="71">
        <f>Resultat!D148</f>
        <v>39.229999999999997</v>
      </c>
      <c r="E30" s="71"/>
      <c r="F30" s="71">
        <f>Resultat!E148</f>
        <v>39.86</v>
      </c>
    </row>
    <row r="31" spans="1:6" ht="15.75" x14ac:dyDescent="0.25">
      <c r="A31" s="174" t="str">
        <f>Resultat!A149</f>
        <v>Weekend</v>
      </c>
      <c r="B31" s="71"/>
      <c r="C31" s="71"/>
      <c r="D31" s="71"/>
      <c r="E31" s="71"/>
      <c r="F31" s="71"/>
    </row>
    <row r="32" spans="1:6" x14ac:dyDescent="0.2">
      <c r="A32" s="173" t="str">
        <f>Resultat!A150</f>
        <v>Lørdag kl. 07.00 til mandag kl. 07.00</v>
      </c>
      <c r="B32" s="71">
        <f>Resultat!C150</f>
        <v>56.14</v>
      </c>
      <c r="C32" s="71"/>
      <c r="D32" s="71">
        <f>Resultat!D150</f>
        <v>57.04</v>
      </c>
      <c r="E32" s="71"/>
      <c r="F32" s="71">
        <f>Resultat!E150</f>
        <v>57.95</v>
      </c>
    </row>
    <row r="33" spans="1:6" x14ac:dyDescent="0.2">
      <c r="A33" s="173" t="str">
        <f>Resultat!A151</f>
        <v>Skæve helligdage og øvrige helligdage</v>
      </c>
      <c r="B33" s="71">
        <f>Resultat!C151</f>
        <v>48.32</v>
      </c>
      <c r="C33" s="71"/>
      <c r="D33" s="71">
        <f>Resultat!D151</f>
        <v>49.09</v>
      </c>
      <c r="E33" s="71"/>
      <c r="F33" s="71">
        <f>Resultat!E151</f>
        <v>49.88</v>
      </c>
    </row>
  </sheetData>
  <sheetProtection algorithmName="SHA-512" hashValue="oAe/4RFbZcJWLGqByguZw/+odWpLu2PcZPi7DrVdZ9QAX3TxL7/IEu+a49tWEFIUV+M5FrEu0ea7AVuoN+Zq5Q==" saltValue="8Z8evDBH1R6DnWwICivF5w==" spinCount="100000" sheet="1" objects="1" scenarios="1"/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9985-0166-4D98-9E6B-FDEE889A3A59}">
  <dimension ref="A1:J42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4"/>
      <c r="C1" s="374"/>
      <c r="D1" s="374"/>
      <c r="E1" s="374"/>
      <c r="F1" s="374"/>
    </row>
    <row r="2" spans="1:10" ht="20.25" x14ac:dyDescent="0.3">
      <c r="A2" s="385" t="str">
        <f>'B. Ambulance'!A2</f>
        <v>mellem DEA for Falck/Responce og 3F</v>
      </c>
      <c r="B2" s="374"/>
      <c r="C2" s="374"/>
      <c r="D2" s="374"/>
      <c r="E2" s="374"/>
      <c r="F2" s="374"/>
    </row>
    <row r="3" spans="1:10" ht="20.25" x14ac:dyDescent="0.3">
      <c r="A3" s="385" t="s">
        <v>33</v>
      </c>
      <c r="B3" s="374"/>
      <c r="C3" s="374"/>
      <c r="D3" s="374"/>
      <c r="E3" s="374"/>
      <c r="F3" s="374"/>
    </row>
    <row r="4" spans="1:10" ht="20.25" x14ac:dyDescent="0.3">
      <c r="A4" s="385" t="str">
        <f>'B. Ambulance'!A4</f>
        <v>1. marts 2020 til 28. februar 2023</v>
      </c>
      <c r="B4" s="374"/>
      <c r="C4" s="374"/>
      <c r="D4" s="374"/>
      <c r="E4" s="374"/>
      <c r="F4" s="374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34</v>
      </c>
      <c r="C7" s="135"/>
      <c r="D7" s="135"/>
      <c r="E7" s="136"/>
      <c r="F7" s="136"/>
      <c r="G7" s="135"/>
      <c r="H7" s="135"/>
      <c r="I7" s="135"/>
      <c r="J7" s="135"/>
    </row>
    <row r="8" spans="1:10" ht="15.75" x14ac:dyDescent="0.25">
      <c r="A8" s="171"/>
      <c r="B8" s="171" t="s">
        <v>35</v>
      </c>
      <c r="C8" s="135"/>
      <c r="D8" s="135"/>
      <c r="E8" s="136"/>
      <c r="F8" s="136"/>
      <c r="G8" s="135"/>
      <c r="H8" s="135"/>
      <c r="I8" s="135"/>
      <c r="J8" s="135"/>
    </row>
    <row r="9" spans="1:10" ht="15.75" x14ac:dyDescent="0.25">
      <c r="A9" s="171"/>
      <c r="B9" s="171" t="s">
        <v>36</v>
      </c>
      <c r="C9" s="135"/>
      <c r="D9" s="135"/>
      <c r="E9" s="136"/>
      <c r="F9" s="136"/>
      <c r="G9" s="135"/>
      <c r="H9" s="135"/>
      <c r="I9" s="135"/>
      <c r="J9" s="135"/>
    </row>
    <row r="10" spans="1:10" ht="15.75" customHeight="1" x14ac:dyDescent="0.25">
      <c r="A10" s="171"/>
      <c r="B10" s="391" t="s">
        <v>124</v>
      </c>
      <c r="C10" s="392"/>
      <c r="D10" s="392"/>
      <c r="E10" s="392"/>
      <c r="F10" s="392"/>
      <c r="G10" s="135"/>
      <c r="H10" s="135"/>
      <c r="I10" s="135"/>
      <c r="J10" s="135"/>
    </row>
    <row r="11" spans="1:10" ht="15" customHeight="1" x14ac:dyDescent="0.25">
      <c r="A11" s="171"/>
      <c r="B11" s="389" t="s">
        <v>125</v>
      </c>
      <c r="C11" s="390"/>
      <c r="D11" s="390"/>
      <c r="E11" s="390"/>
      <c r="F11" s="390"/>
      <c r="G11" s="219"/>
      <c r="H11" s="219"/>
      <c r="I11" s="219"/>
      <c r="J11" s="219"/>
    </row>
    <row r="13" spans="1:10" ht="15.75" x14ac:dyDescent="0.25">
      <c r="A13" s="64"/>
      <c r="B13" s="65" t="str">
        <f>'B. Ambulance'!B11</f>
        <v>1. marts 2020</v>
      </c>
      <c r="C13" s="65"/>
      <c r="D13" s="65" t="str">
        <f>'B. Ambulance'!D11</f>
        <v>1. marts 2021</v>
      </c>
      <c r="E13" s="65"/>
      <c r="F13" s="65" t="str">
        <f>'B. Ambulance'!F11</f>
        <v>1. marts 2022</v>
      </c>
    </row>
    <row r="14" spans="1:10" ht="15.75" x14ac:dyDescent="0.25">
      <c r="A14" s="64" t="str">
        <f>Resultat!A107</f>
        <v>Grundløn, pr. måned</v>
      </c>
      <c r="B14" s="62">
        <f>Resultat!C107</f>
        <v>25250.13</v>
      </c>
      <c r="C14" s="62"/>
      <c r="D14" s="62">
        <f>Resultat!D107</f>
        <v>25763.19</v>
      </c>
      <c r="E14" s="62"/>
      <c r="F14" s="62">
        <f>Resultat!E107</f>
        <v>26268.23</v>
      </c>
    </row>
    <row r="15" spans="1:10" ht="15.75" x14ac:dyDescent="0.25">
      <c r="A15" s="64" t="str">
        <f>Resultat!A108</f>
        <v>Kvalifikationsløn</v>
      </c>
      <c r="B15" s="62">
        <f>Resultat!C108</f>
        <v>792.74</v>
      </c>
      <c r="C15" s="62"/>
      <c r="D15" s="62">
        <f>Resultat!D108</f>
        <v>792.74</v>
      </c>
      <c r="E15" s="62"/>
      <c r="F15" s="62">
        <f>Resultat!E108</f>
        <v>792.74</v>
      </c>
    </row>
    <row r="16" spans="1:10" ht="15" customHeight="1" x14ac:dyDescent="0.25">
      <c r="A16" s="64"/>
      <c r="B16" s="62"/>
      <c r="C16" s="62"/>
      <c r="D16" s="62"/>
      <c r="E16" s="62"/>
      <c r="F16" s="62"/>
    </row>
    <row r="17" spans="1:6" ht="15.75" x14ac:dyDescent="0.25">
      <c r="A17" s="64" t="str">
        <f>Resultat!A109:E109</f>
        <v>For ansættelse før 1. november 2015:</v>
      </c>
      <c r="B17" s="62"/>
      <c r="C17" s="62"/>
      <c r="D17" s="62"/>
      <c r="E17" s="62"/>
      <c r="F17" s="62"/>
    </row>
    <row r="18" spans="1:6" ht="15.75" x14ac:dyDescent="0.25">
      <c r="A18" s="64" t="str">
        <f>Resultat!A110</f>
        <v>Reddertillæg</v>
      </c>
      <c r="B18" s="62">
        <f>Resultat!C110</f>
        <v>792</v>
      </c>
      <c r="C18" s="62"/>
      <c r="D18" s="62">
        <f>Resultat!D110</f>
        <v>792</v>
      </c>
      <c r="E18" s="62"/>
      <c r="F18" s="62">
        <f>Resultat!E110</f>
        <v>792</v>
      </c>
    </row>
    <row r="19" spans="1:6" ht="15.75" x14ac:dyDescent="0.25">
      <c r="A19" s="64" t="str">
        <f>Resultat!A111</f>
        <v>Særligt tillæg</v>
      </c>
      <c r="B19" s="62">
        <f>Resultat!C111</f>
        <v>112</v>
      </c>
      <c r="C19" s="62"/>
      <c r="D19" s="62">
        <f>Resultat!D111</f>
        <v>112</v>
      </c>
      <c r="E19" s="62"/>
      <c r="F19" s="62">
        <f>Resultat!E111</f>
        <v>112</v>
      </c>
    </row>
    <row r="20" spans="1:6" ht="15" customHeight="1" x14ac:dyDescent="0.25">
      <c r="A20" s="64"/>
      <c r="B20" s="62"/>
      <c r="C20" s="62"/>
      <c r="D20" s="62"/>
      <c r="E20" s="62"/>
      <c r="F20" s="62"/>
    </row>
    <row r="21" spans="1:6" ht="15.75" x14ac:dyDescent="0.25">
      <c r="A21" s="64" t="str">
        <f>Resultat!A10</f>
        <v>Anciennitetstillæg</v>
      </c>
      <c r="B21" s="85" t="str">
        <f>$B$13</f>
        <v>1. marts 2020</v>
      </c>
      <c r="C21" s="85"/>
      <c r="D21" s="85" t="str">
        <f>$D$13</f>
        <v>1. marts 2021</v>
      </c>
      <c r="E21" s="85"/>
      <c r="F21" s="85" t="str">
        <f>$F$13</f>
        <v>1. marts 2022</v>
      </c>
    </row>
    <row r="22" spans="1:6" x14ac:dyDescent="0.2">
      <c r="A22" s="66" t="str">
        <f>Resultat!A113</f>
        <v>01. Efter 1 år</v>
      </c>
      <c r="B22" s="62">
        <f>Resultat!C113</f>
        <v>753.56</v>
      </c>
      <c r="C22" s="62"/>
      <c r="D22" s="62">
        <f>Resultat!D113</f>
        <v>753.56</v>
      </c>
      <c r="E22" s="62"/>
      <c r="F22" s="62">
        <f>Resultat!E113</f>
        <v>753.56</v>
      </c>
    </row>
    <row r="23" spans="1:6" x14ac:dyDescent="0.2">
      <c r="A23" s="66" t="str">
        <f>Resultat!A114</f>
        <v>02. Efter 3 år</v>
      </c>
      <c r="B23" s="62">
        <f>Resultat!C114</f>
        <v>833.72</v>
      </c>
      <c r="C23" s="62"/>
      <c r="D23" s="62">
        <f>Resultat!D114</f>
        <v>833.72</v>
      </c>
      <c r="E23" s="62"/>
      <c r="F23" s="62">
        <f>Resultat!E114</f>
        <v>833.72</v>
      </c>
    </row>
    <row r="24" spans="1:6" x14ac:dyDescent="0.2">
      <c r="A24" s="66" t="str">
        <f>Resultat!A115</f>
        <v>02. Efter 5 år</v>
      </c>
      <c r="B24" s="62">
        <f>Resultat!C115</f>
        <v>921.91</v>
      </c>
      <c r="C24" s="62"/>
      <c r="D24" s="62">
        <f>Resultat!D115</f>
        <v>921.91</v>
      </c>
      <c r="E24" s="62"/>
      <c r="F24" s="62">
        <f>Resultat!E115</f>
        <v>921.91</v>
      </c>
    </row>
    <row r="25" spans="1:6" x14ac:dyDescent="0.2">
      <c r="A25" s="67"/>
      <c r="B25" s="71"/>
      <c r="C25" s="71"/>
      <c r="D25" s="71"/>
      <c r="E25" s="71"/>
      <c r="F25" s="71"/>
    </row>
    <row r="26" spans="1:6" ht="15" customHeight="1" x14ac:dyDescent="0.25">
      <c r="A26" s="67"/>
      <c r="B26" s="85" t="str">
        <f>$B$13</f>
        <v>1. marts 2020</v>
      </c>
      <c r="C26" s="85"/>
      <c r="D26" s="85" t="str">
        <f>$D$13</f>
        <v>1. marts 2021</v>
      </c>
      <c r="E26" s="85"/>
      <c r="F26" s="85" t="str">
        <f>$F$13</f>
        <v>1. marts 2022</v>
      </c>
    </row>
    <row r="27" spans="1:6" ht="15" customHeight="1" x14ac:dyDescent="0.25">
      <c r="A27" s="69" t="str">
        <f>Resultat!A116</f>
        <v>Ferietillæg</v>
      </c>
      <c r="B27" s="63">
        <f>Resultat!C116</f>
        <v>0.01</v>
      </c>
      <c r="C27" s="63"/>
      <c r="D27" s="63">
        <f>Resultat!D116</f>
        <v>0.01</v>
      </c>
      <c r="E27" s="63"/>
      <c r="F27" s="63">
        <f>Resultat!E116</f>
        <v>0.01</v>
      </c>
    </row>
    <row r="28" spans="1:6" ht="15" customHeight="1" x14ac:dyDescent="0.25">
      <c r="A28" s="69" t="str">
        <f>Resultat!A117</f>
        <v>Særlig opsparing, inkl. feriepenge</v>
      </c>
      <c r="B28" s="63">
        <f>Resultat!C117</f>
        <v>0.04</v>
      </c>
      <c r="C28" s="63"/>
      <c r="D28" s="63">
        <f>Resultat!D117</f>
        <v>0.05</v>
      </c>
      <c r="E28" s="63"/>
      <c r="F28" s="63">
        <f>Resultat!E117</f>
        <v>6.0000000000000005E-2</v>
      </c>
    </row>
    <row r="29" spans="1:6" ht="15" customHeight="1" x14ac:dyDescent="0.25">
      <c r="A29" s="69"/>
      <c r="B29" s="63"/>
      <c r="C29" s="63"/>
      <c r="D29" s="63"/>
      <c r="E29" s="63"/>
      <c r="F29" s="63"/>
    </row>
    <row r="30" spans="1:6" ht="15" customHeight="1" x14ac:dyDescent="0.25">
      <c r="A30" s="70" t="str">
        <f>Stigninger!A142</f>
        <v>Pension</v>
      </c>
      <c r="B30" s="85" t="str">
        <f>$B$13</f>
        <v>1. marts 2020</v>
      </c>
      <c r="C30" s="85"/>
      <c r="D30" s="85" t="str">
        <f>$D$13</f>
        <v>1. marts 2021</v>
      </c>
      <c r="E30" s="85"/>
      <c r="F30" s="85" t="str">
        <f>$F$13</f>
        <v>1. marts 2022</v>
      </c>
    </row>
    <row r="31" spans="1:6" ht="15" customHeight="1" x14ac:dyDescent="0.2">
      <c r="A31" s="68" t="str">
        <f>Stigninger!A143</f>
        <v>Arbejdsgivers bidrag</v>
      </c>
      <c r="B31" s="63">
        <f>Resultat!C153</f>
        <v>0.08</v>
      </c>
      <c r="C31" s="63"/>
      <c r="D31" s="63">
        <f>Resultat!D153</f>
        <v>0.08</v>
      </c>
      <c r="E31" s="63"/>
      <c r="F31" s="63">
        <f>D31+Stigninger!E143</f>
        <v>0.08</v>
      </c>
    </row>
    <row r="32" spans="1:6" ht="15" customHeight="1" x14ac:dyDescent="0.2">
      <c r="A32" s="68" t="str">
        <f>Stigninger!A144</f>
        <v>Lønmodtagers bidrag</v>
      </c>
      <c r="B32" s="63">
        <f>Resultat!C154</f>
        <v>0.04</v>
      </c>
      <c r="C32" s="63"/>
      <c r="D32" s="63">
        <f>Resultat!D154</f>
        <v>0.04</v>
      </c>
      <c r="E32" s="63"/>
      <c r="F32" s="63">
        <f>D32+Stigninger!E144</f>
        <v>0.04</v>
      </c>
    </row>
    <row r="33" spans="1:6" ht="16.5" customHeight="1" thickBot="1" x14ac:dyDescent="0.3">
      <c r="A33" s="64" t="str">
        <f>Stigninger!A145</f>
        <v>Pensionsbidrag i alt</v>
      </c>
      <c r="B33" s="83">
        <f>SUM(B31:B32)</f>
        <v>0.12</v>
      </c>
      <c r="C33" s="84"/>
      <c r="D33" s="83">
        <f>SUM(D31:D32)</f>
        <v>0.12</v>
      </c>
      <c r="E33" s="84"/>
      <c r="F33" s="83">
        <f>SUM(F31:F32)</f>
        <v>0.12</v>
      </c>
    </row>
    <row r="34" spans="1:6" ht="15" customHeight="1" thickTop="1" x14ac:dyDescent="0.2">
      <c r="A34" s="67"/>
      <c r="B34" s="71"/>
      <c r="C34" s="71"/>
      <c r="D34" s="71"/>
      <c r="E34" s="71"/>
      <c r="F34" s="71"/>
    </row>
    <row r="35" spans="1:6" ht="15.75" x14ac:dyDescent="0.25">
      <c r="A35" s="174" t="str">
        <f>Resultat!A144</f>
        <v>Genetillæg pr. time</v>
      </c>
      <c r="B35" s="85" t="str">
        <f>$B$13</f>
        <v>1. marts 2020</v>
      </c>
      <c r="C35" s="85"/>
      <c r="D35" s="85" t="str">
        <f>$D$13</f>
        <v>1. marts 2021</v>
      </c>
      <c r="E35" s="85"/>
      <c r="F35" s="85" t="str">
        <f>$F$13</f>
        <v>1. marts 2022</v>
      </c>
    </row>
    <row r="36" spans="1:6" ht="15.75" x14ac:dyDescent="0.25">
      <c r="A36" s="174" t="str">
        <f>Resultat!A145</f>
        <v>Hverdage</v>
      </c>
    </row>
    <row r="37" spans="1:6" x14ac:dyDescent="0.2">
      <c r="A37" s="173" t="str">
        <f>Resultat!A146</f>
        <v>Dag – kl. 07.00 til kl. 18.00</v>
      </c>
      <c r="B37" s="71">
        <f>Resultat!C146</f>
        <v>0</v>
      </c>
      <c r="C37" s="71"/>
      <c r="D37" s="71">
        <f>Resultat!D146</f>
        <v>0</v>
      </c>
      <c r="E37" s="71"/>
      <c r="F37" s="71">
        <f>Resultat!E146</f>
        <v>0</v>
      </c>
    </row>
    <row r="38" spans="1:6" x14ac:dyDescent="0.2">
      <c r="A38" s="173" t="str">
        <f>Resultat!A147</f>
        <v>Aften – kl. 18.00 til kl. 24.00</v>
      </c>
      <c r="B38" s="71">
        <f>Resultat!C147</f>
        <v>21.07</v>
      </c>
      <c r="C38" s="71"/>
      <c r="D38" s="71">
        <f>Resultat!D147</f>
        <v>21.41</v>
      </c>
      <c r="E38" s="71"/>
      <c r="F38" s="71">
        <f>Resultat!E147</f>
        <v>21.75</v>
      </c>
    </row>
    <row r="39" spans="1:6" x14ac:dyDescent="0.2">
      <c r="A39" s="173" t="str">
        <f>Resultat!A148</f>
        <v>Nat – kl. 24.00 til kl. 07.00</v>
      </c>
      <c r="B39" s="71">
        <f>Resultat!C148</f>
        <v>38.61</v>
      </c>
      <c r="C39" s="71"/>
      <c r="D39" s="71">
        <f>Resultat!D148</f>
        <v>39.229999999999997</v>
      </c>
      <c r="E39" s="71"/>
      <c r="F39" s="71">
        <f>Resultat!E148</f>
        <v>39.86</v>
      </c>
    </row>
    <row r="40" spans="1:6" ht="15.75" x14ac:dyDescent="0.25">
      <c r="A40" s="174" t="str">
        <f>Resultat!A149</f>
        <v>Weekend</v>
      </c>
      <c r="B40" s="71"/>
      <c r="C40" s="71"/>
      <c r="D40" s="71"/>
      <c r="E40" s="71"/>
      <c r="F40" s="71"/>
    </row>
    <row r="41" spans="1:6" x14ac:dyDescent="0.2">
      <c r="A41" s="173" t="str">
        <f>Resultat!A150</f>
        <v>Lørdag kl. 07.00 til mandag kl. 07.00</v>
      </c>
      <c r="B41" s="71">
        <f>Resultat!C150</f>
        <v>56.14</v>
      </c>
      <c r="C41" s="71"/>
      <c r="D41" s="71">
        <f>Resultat!D150</f>
        <v>57.04</v>
      </c>
      <c r="E41" s="71"/>
      <c r="F41" s="71">
        <f>Resultat!E150</f>
        <v>57.95</v>
      </c>
    </row>
    <row r="42" spans="1:6" x14ac:dyDescent="0.2">
      <c r="A42" s="173" t="str">
        <f>Resultat!A151</f>
        <v>Skæve helligdage og øvrige helligdage</v>
      </c>
      <c r="B42" s="71">
        <f>Resultat!C151</f>
        <v>48.32</v>
      </c>
      <c r="C42" s="71"/>
      <c r="D42" s="71">
        <f>Resultat!D151</f>
        <v>49.09</v>
      </c>
      <c r="E42" s="71"/>
      <c r="F42" s="71">
        <f>Resultat!E151</f>
        <v>49.88</v>
      </c>
    </row>
  </sheetData>
  <sheetProtection algorithmName="SHA-512" hashValue="FoT6jiBla1ffVSx6htjTBMuGdxe8m9R9+YPJYVeKnYebROhpP5b7s0CZNKGHxFAw4Gi708qActwz0CO2Q2OE0w==" saltValue="SM2idj1pMlcEZ9+MpmiNGA==" spinCount="100000" sheet="1" objects="1" scenarios="1"/>
  <mergeCells count="7">
    <mergeCell ref="B11:F11"/>
    <mergeCell ref="B10:F10"/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4BE9-DBA1-479E-8C1E-E721185FD674}">
  <dimension ref="A1:J39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4"/>
      <c r="C1" s="374"/>
      <c r="D1" s="374"/>
      <c r="E1" s="374"/>
      <c r="F1" s="374"/>
    </row>
    <row r="2" spans="1:10" ht="20.25" x14ac:dyDescent="0.3">
      <c r="A2" s="385" t="str">
        <f>'B. Ambulance'!A2</f>
        <v>mellem DEA for Falck/Responce og 3F</v>
      </c>
      <c r="B2" s="374"/>
      <c r="C2" s="374"/>
      <c r="D2" s="374"/>
      <c r="E2" s="374"/>
      <c r="F2" s="374"/>
    </row>
    <row r="3" spans="1:10" ht="20.25" x14ac:dyDescent="0.3">
      <c r="A3" s="385" t="s">
        <v>33</v>
      </c>
      <c r="B3" s="374"/>
      <c r="C3" s="374"/>
      <c r="D3" s="374"/>
      <c r="E3" s="374"/>
      <c r="F3" s="374"/>
    </row>
    <row r="4" spans="1:10" ht="20.25" x14ac:dyDescent="0.3">
      <c r="A4" s="385" t="str">
        <f>'B. Ambulance'!A4</f>
        <v>1. marts 2020 til 28. februar 2023</v>
      </c>
      <c r="B4" s="374"/>
      <c r="C4" s="374"/>
      <c r="D4" s="374"/>
      <c r="E4" s="374"/>
      <c r="F4" s="374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customHeight="1" x14ac:dyDescent="0.25">
      <c r="A7" s="171" t="s">
        <v>25</v>
      </c>
      <c r="B7" s="391" t="s">
        <v>124</v>
      </c>
      <c r="C7" s="392"/>
      <c r="D7" s="392"/>
      <c r="E7" s="392"/>
      <c r="F7" s="392"/>
      <c r="G7" s="135"/>
      <c r="H7" s="135"/>
      <c r="I7" s="135"/>
      <c r="J7" s="135"/>
    </row>
    <row r="8" spans="1:10" ht="15" customHeight="1" x14ac:dyDescent="0.25">
      <c r="A8" s="171"/>
      <c r="B8" s="393" t="str">
        <f>Stigninger!A113</f>
        <v>Ansat før 1. oktober 2017 ved Falck Teknik</v>
      </c>
      <c r="C8" s="394"/>
      <c r="D8" s="394"/>
      <c r="E8" s="394"/>
      <c r="F8" s="394"/>
      <c r="G8" s="219"/>
      <c r="H8" s="219"/>
      <c r="I8" s="219"/>
      <c r="J8" s="219"/>
    </row>
    <row r="10" spans="1:10" ht="15.75" x14ac:dyDescent="0.25">
      <c r="A10" s="64"/>
      <c r="B10" s="65" t="str">
        <f>'B. Ambulance'!B11</f>
        <v>1. marts 2020</v>
      </c>
      <c r="C10" s="65"/>
      <c r="D10" s="65" t="str">
        <f>'B. Ambulance'!D11</f>
        <v>1. marts 2021</v>
      </c>
      <c r="E10" s="65"/>
      <c r="F10" s="65" t="str">
        <f>'B. Ambulance'!F11</f>
        <v>1. marts 2022</v>
      </c>
    </row>
    <row r="11" spans="1:10" ht="15.75" x14ac:dyDescent="0.25">
      <c r="A11" s="64" t="str">
        <f>Resultat!A122</f>
        <v>Grundløn, pr. måned</v>
      </c>
      <c r="B11" s="62">
        <f>Resultat!C122</f>
        <v>26493.75</v>
      </c>
      <c r="C11" s="62"/>
      <c r="D11" s="62">
        <f>Resultat!D122</f>
        <v>27006.81</v>
      </c>
      <c r="E11" s="62"/>
      <c r="F11" s="62">
        <f>Resultat!E122</f>
        <v>27511.85</v>
      </c>
    </row>
    <row r="12" spans="1:10" ht="15.75" x14ac:dyDescent="0.25">
      <c r="A12" s="64" t="str">
        <f>Resultat!A123</f>
        <v>Kvalifikationsløn</v>
      </c>
      <c r="B12" s="62">
        <f>Resultat!C123</f>
        <v>792.74</v>
      </c>
      <c r="C12" s="62"/>
      <c r="D12" s="62">
        <f>Resultat!D123</f>
        <v>792.74</v>
      </c>
      <c r="E12" s="62"/>
      <c r="F12" s="62">
        <f>Resultat!E123</f>
        <v>792.74</v>
      </c>
    </row>
    <row r="13" spans="1:10" ht="15" customHeight="1" x14ac:dyDescent="0.25">
      <c r="A13" s="64"/>
      <c r="B13" s="62"/>
      <c r="C13" s="62"/>
      <c r="D13" s="62"/>
      <c r="E13" s="62"/>
      <c r="F13" s="62"/>
    </row>
    <row r="14" spans="1:10" ht="15.75" x14ac:dyDescent="0.25">
      <c r="A14" s="64" t="str">
        <f>Resultat!A10</f>
        <v>Anciennitetstillæg</v>
      </c>
      <c r="B14" s="85" t="str">
        <f>$B$10</f>
        <v>1. marts 2020</v>
      </c>
      <c r="C14" s="85"/>
      <c r="D14" s="85" t="str">
        <f>$D$10</f>
        <v>1. marts 2021</v>
      </c>
      <c r="E14" s="85"/>
      <c r="F14" s="85" t="str">
        <f>$F$10</f>
        <v>1. marts 2022</v>
      </c>
    </row>
    <row r="15" spans="1:10" x14ac:dyDescent="0.2">
      <c r="A15" s="66" t="str">
        <f>Resultat!A125</f>
        <v>01. Efter 1 år</v>
      </c>
      <c r="B15" s="62">
        <f>Resultat!C125</f>
        <v>930.61</v>
      </c>
      <c r="C15" s="62"/>
      <c r="D15" s="62">
        <f>Resultat!D125</f>
        <v>930.61</v>
      </c>
      <c r="E15" s="62"/>
      <c r="F15" s="62">
        <f>Resultat!E125</f>
        <v>930.61</v>
      </c>
    </row>
    <row r="16" spans="1:10" x14ac:dyDescent="0.2">
      <c r="A16" s="66" t="str">
        <f>Resultat!A126</f>
        <v>02. Efter 3 år</v>
      </c>
      <c r="B16" s="62">
        <f>Resultat!C126</f>
        <v>980.61</v>
      </c>
      <c r="C16" s="62"/>
      <c r="D16" s="62">
        <f>Resultat!D126</f>
        <v>980.61</v>
      </c>
      <c r="E16" s="62"/>
      <c r="F16" s="62">
        <f>Resultat!E126</f>
        <v>980.61</v>
      </c>
    </row>
    <row r="17" spans="1:6" x14ac:dyDescent="0.2">
      <c r="A17" s="66" t="str">
        <f>Resultat!A127</f>
        <v>02. Efter 5 år</v>
      </c>
      <c r="B17" s="62">
        <f>Resultat!C127</f>
        <v>1080.6099999999999</v>
      </c>
      <c r="C17" s="62"/>
      <c r="D17" s="62">
        <f>Resultat!D127</f>
        <v>1080.6099999999999</v>
      </c>
      <c r="E17" s="62"/>
      <c r="F17" s="62">
        <f>Resultat!E127</f>
        <v>1080.6099999999999</v>
      </c>
    </row>
    <row r="18" spans="1:6" x14ac:dyDescent="0.2">
      <c r="A18" s="66" t="str">
        <f>Resultat!A128</f>
        <v>03. Efter 7 år</v>
      </c>
      <c r="B18" s="62">
        <f>Resultat!C128</f>
        <v>1135.6099999999999</v>
      </c>
      <c r="C18" s="62"/>
      <c r="D18" s="62">
        <f>Resultat!D128</f>
        <v>1135.6099999999999</v>
      </c>
      <c r="E18" s="62"/>
      <c r="F18" s="62">
        <f>Resultat!E128</f>
        <v>1135.6099999999999</v>
      </c>
    </row>
    <row r="19" spans="1:6" x14ac:dyDescent="0.2">
      <c r="A19" s="66" t="str">
        <f>Resultat!A129</f>
        <v>04. Efter 9 år</v>
      </c>
      <c r="B19" s="62">
        <f>Resultat!C129</f>
        <v>1190.6099999999999</v>
      </c>
      <c r="C19" s="62"/>
      <c r="D19" s="62">
        <f>Resultat!D129</f>
        <v>1190.6099999999999</v>
      </c>
      <c r="E19" s="62"/>
      <c r="F19" s="62">
        <f>Resultat!E129</f>
        <v>1190.6099999999999</v>
      </c>
    </row>
    <row r="20" spans="1:6" x14ac:dyDescent="0.2">
      <c r="A20" s="66" t="str">
        <f>Resultat!A130</f>
        <v>05. Efter 11 år</v>
      </c>
      <c r="B20" s="62">
        <f>Resultat!C130</f>
        <v>1250.6099999999999</v>
      </c>
      <c r="C20" s="62"/>
      <c r="D20" s="62">
        <f>Resultat!D130</f>
        <v>1250.6099999999999</v>
      </c>
      <c r="E20" s="62"/>
      <c r="F20" s="62">
        <f>Resultat!E130</f>
        <v>1250.6099999999999</v>
      </c>
    </row>
    <row r="21" spans="1:6" x14ac:dyDescent="0.2">
      <c r="A21" s="66" t="str">
        <f>Resultat!A131</f>
        <v>06. Efter 13 år</v>
      </c>
      <c r="B21" s="62">
        <f>Resultat!C131</f>
        <v>1300.6099999999999</v>
      </c>
      <c r="C21" s="62"/>
      <c r="D21" s="62">
        <f>Resultat!D131</f>
        <v>1300.6099999999999</v>
      </c>
      <c r="E21" s="62"/>
      <c r="F21" s="62">
        <f>Resultat!E131</f>
        <v>1300.6099999999999</v>
      </c>
    </row>
    <row r="22" spans="1:6" x14ac:dyDescent="0.2">
      <c r="A22" s="67"/>
      <c r="B22" s="71"/>
      <c r="C22" s="71"/>
      <c r="D22" s="71"/>
      <c r="E22" s="71"/>
      <c r="F22" s="71"/>
    </row>
    <row r="23" spans="1:6" ht="15.75" x14ac:dyDescent="0.25">
      <c r="A23" s="67"/>
      <c r="B23" s="85" t="str">
        <f>$B$10</f>
        <v>1. marts 2020</v>
      </c>
      <c r="C23" s="85"/>
      <c r="D23" s="85" t="str">
        <f>$D$10</f>
        <v>1. marts 2021</v>
      </c>
      <c r="E23" s="85"/>
      <c r="F23" s="85" t="str">
        <f>$F$10</f>
        <v>1. marts 2022</v>
      </c>
    </row>
    <row r="24" spans="1:6" ht="15.75" x14ac:dyDescent="0.25">
      <c r="A24" s="69" t="str">
        <f>Resultat!A132</f>
        <v>Ferietillæg</v>
      </c>
      <c r="B24" s="63">
        <f>Resultat!C132</f>
        <v>0.02</v>
      </c>
      <c r="C24" s="63"/>
      <c r="D24" s="63">
        <f>Resultat!D132</f>
        <v>0.02</v>
      </c>
      <c r="E24" s="63"/>
      <c r="F24" s="63">
        <f>Resultat!E132</f>
        <v>0.02</v>
      </c>
    </row>
    <row r="25" spans="1:6" ht="15.75" x14ac:dyDescent="0.25">
      <c r="A25" s="69" t="str">
        <f>Resultat!A133</f>
        <v>Særlig opsparing, inkl. feriepenge</v>
      </c>
      <c r="B25" s="63">
        <f>Resultat!C133</f>
        <v>0.05</v>
      </c>
      <c r="C25" s="63"/>
      <c r="D25" s="63">
        <f>Resultat!D133</f>
        <v>6.0000000000000005E-2</v>
      </c>
      <c r="E25" s="63"/>
      <c r="F25" s="63">
        <f>Resultat!E133</f>
        <v>7.0000000000000007E-2</v>
      </c>
    </row>
    <row r="26" spans="1:6" ht="15" customHeight="1" x14ac:dyDescent="0.25">
      <c r="A26" s="69"/>
      <c r="B26" s="63"/>
      <c r="C26" s="63"/>
      <c r="D26" s="63"/>
      <c r="E26" s="63"/>
      <c r="F26" s="63"/>
    </row>
    <row r="27" spans="1:6" ht="15.75" x14ac:dyDescent="0.25">
      <c r="A27" s="70" t="str">
        <f>Stigninger!A142</f>
        <v>Pension</v>
      </c>
      <c r="B27" s="85" t="str">
        <f>$B$10</f>
        <v>1. marts 2020</v>
      </c>
      <c r="C27" s="85"/>
      <c r="D27" s="85" t="str">
        <f>$D$10</f>
        <v>1. marts 2021</v>
      </c>
      <c r="E27" s="85"/>
      <c r="F27" s="85" t="str">
        <f>$F$10</f>
        <v>1. marts 2022</v>
      </c>
    </row>
    <row r="28" spans="1:6" x14ac:dyDescent="0.2">
      <c r="A28" s="68" t="str">
        <f>Stigninger!A143</f>
        <v>Arbejdsgivers bidrag</v>
      </c>
      <c r="B28" s="63">
        <f>Resultat!C153</f>
        <v>0.08</v>
      </c>
      <c r="C28" s="63"/>
      <c r="D28" s="63">
        <f>Resultat!D153</f>
        <v>0.08</v>
      </c>
      <c r="E28" s="63"/>
      <c r="F28" s="63">
        <f>D28+Stigninger!E143</f>
        <v>0.08</v>
      </c>
    </row>
    <row r="29" spans="1:6" x14ac:dyDescent="0.2">
      <c r="A29" s="68" t="str">
        <f>Stigninger!A144</f>
        <v>Lønmodtagers bidrag</v>
      </c>
      <c r="B29" s="63">
        <f>Resultat!C154</f>
        <v>0.04</v>
      </c>
      <c r="C29" s="63"/>
      <c r="D29" s="63">
        <f>Resultat!D154</f>
        <v>0.04</v>
      </c>
      <c r="E29" s="63"/>
      <c r="F29" s="63">
        <f>D29+Stigninger!E144</f>
        <v>0.04</v>
      </c>
    </row>
    <row r="30" spans="1:6" ht="16.5" thickBot="1" x14ac:dyDescent="0.3">
      <c r="A30" s="64" t="str">
        <f>Stigninger!A145</f>
        <v>Pensionsbidrag i alt</v>
      </c>
      <c r="B30" s="83">
        <f>SUM(B28:B29)</f>
        <v>0.12</v>
      </c>
      <c r="C30" s="84"/>
      <c r="D30" s="83">
        <f>SUM(D28:D29)</f>
        <v>0.12</v>
      </c>
      <c r="E30" s="84"/>
      <c r="F30" s="83">
        <f>SUM(F28:F29)</f>
        <v>0.12</v>
      </c>
    </row>
    <row r="31" spans="1:6" ht="15" customHeight="1" thickTop="1" x14ac:dyDescent="0.2">
      <c r="A31" s="67"/>
      <c r="B31" s="71"/>
      <c r="C31" s="71"/>
      <c r="D31" s="71"/>
      <c r="E31" s="71"/>
      <c r="F31" s="71"/>
    </row>
    <row r="32" spans="1:6" ht="15.75" x14ac:dyDescent="0.25">
      <c r="A32" s="174" t="str">
        <f>Resultat!A144</f>
        <v>Genetillæg pr. time</v>
      </c>
      <c r="B32" s="85" t="str">
        <f>$B$10</f>
        <v>1. marts 2020</v>
      </c>
      <c r="C32" s="85"/>
      <c r="D32" s="85" t="str">
        <f>$D$10</f>
        <v>1. marts 2021</v>
      </c>
      <c r="E32" s="85"/>
      <c r="F32" s="85" t="str">
        <f>$F$10</f>
        <v>1. marts 2022</v>
      </c>
    </row>
    <row r="33" spans="1:6" ht="15.75" x14ac:dyDescent="0.25">
      <c r="A33" s="174" t="str">
        <f>Resultat!A145</f>
        <v>Hverdage</v>
      </c>
      <c r="B33" s="71"/>
      <c r="C33" s="71"/>
      <c r="D33" s="71"/>
      <c r="E33" s="71"/>
      <c r="F33" s="71"/>
    </row>
    <row r="34" spans="1:6" x14ac:dyDescent="0.2">
      <c r="A34" s="173" t="str">
        <f>Resultat!A146</f>
        <v>Dag – kl. 07.00 til kl. 18.00</v>
      </c>
      <c r="B34" s="71">
        <f>Resultat!C146</f>
        <v>0</v>
      </c>
      <c r="C34" s="71"/>
      <c r="D34" s="71">
        <f>Resultat!D146</f>
        <v>0</v>
      </c>
      <c r="E34" s="71"/>
      <c r="F34" s="71">
        <f>Resultat!E146</f>
        <v>0</v>
      </c>
    </row>
    <row r="35" spans="1:6" x14ac:dyDescent="0.2">
      <c r="A35" s="173" t="str">
        <f>Resultat!A147</f>
        <v>Aften – kl. 18.00 til kl. 24.00</v>
      </c>
      <c r="B35" s="71">
        <f>Resultat!C147</f>
        <v>21.07</v>
      </c>
      <c r="C35" s="71"/>
      <c r="D35" s="71">
        <f>Resultat!D147</f>
        <v>21.41</v>
      </c>
      <c r="E35" s="71"/>
      <c r="F35" s="71">
        <f>Resultat!E147</f>
        <v>21.75</v>
      </c>
    </row>
    <row r="36" spans="1:6" x14ac:dyDescent="0.2">
      <c r="A36" s="173" t="str">
        <f>Resultat!A148</f>
        <v>Nat – kl. 24.00 til kl. 07.00</v>
      </c>
      <c r="B36" s="71">
        <f>Resultat!C148</f>
        <v>38.61</v>
      </c>
      <c r="C36" s="71"/>
      <c r="D36" s="71">
        <f>Resultat!D148</f>
        <v>39.229999999999997</v>
      </c>
      <c r="E36" s="71"/>
      <c r="F36" s="71">
        <f>Resultat!E148</f>
        <v>39.86</v>
      </c>
    </row>
    <row r="37" spans="1:6" ht="15.75" x14ac:dyDescent="0.25">
      <c r="A37" s="174" t="str">
        <f>Resultat!A149</f>
        <v>Weekend</v>
      </c>
      <c r="B37" s="71"/>
      <c r="C37" s="71"/>
      <c r="D37" s="71"/>
      <c r="E37" s="71"/>
      <c r="F37" s="71"/>
    </row>
    <row r="38" spans="1:6" x14ac:dyDescent="0.2">
      <c r="A38" s="173" t="str">
        <f>Resultat!A150</f>
        <v>Lørdag kl. 07.00 til mandag kl. 07.00</v>
      </c>
      <c r="B38" s="71">
        <f>Resultat!C150</f>
        <v>56.14</v>
      </c>
      <c r="C38" s="71"/>
      <c r="D38" s="71">
        <f>Resultat!D150</f>
        <v>57.04</v>
      </c>
      <c r="E38" s="71"/>
      <c r="F38" s="71">
        <f>Resultat!E150</f>
        <v>57.95</v>
      </c>
    </row>
    <row r="39" spans="1:6" x14ac:dyDescent="0.2">
      <c r="A39" s="173" t="str">
        <f>Resultat!A151</f>
        <v>Skæve helligdage og øvrige helligdage</v>
      </c>
      <c r="B39" s="71">
        <f>Resultat!C151</f>
        <v>48.32</v>
      </c>
      <c r="C39" s="71"/>
      <c r="D39" s="71">
        <f>Resultat!D151</f>
        <v>49.09</v>
      </c>
      <c r="E39" s="71"/>
      <c r="F39" s="71">
        <f>Resultat!E151</f>
        <v>49.88</v>
      </c>
    </row>
  </sheetData>
  <sheetProtection algorithmName="SHA-512" hashValue="1eU+fhigci4YzHRenJS29du3Dxs2kAeKvKN7MCGRoX/0vAjzSUbZ04x7X/vLDKyUH0abO89LaRRnxTuvoDlP6g==" saltValue="QpsUhjhT9F4ZUlDeyQjKkg==" spinCount="100000" sheet="1" objects="1" scenarios="1"/>
  <mergeCells count="7">
    <mergeCell ref="B8:F8"/>
    <mergeCell ref="B7:F7"/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5"/>
  <sheetViews>
    <sheetView showGridLines="0" showRowColHeaders="0" topLeftCell="A74" zoomScaleNormal="100" workbookViewId="0">
      <selection sqref="A1:F1"/>
    </sheetView>
  </sheetViews>
  <sheetFormatPr defaultRowHeight="15" x14ac:dyDescent="0.2"/>
  <cols>
    <col min="1" max="1" width="41.140625" style="1" customWidth="1"/>
    <col min="2" max="5" width="11.42578125" style="1" customWidth="1"/>
    <col min="6" max="16384" width="9.140625" style="1"/>
  </cols>
  <sheetData>
    <row r="1" spans="1:5" ht="15.75" x14ac:dyDescent="0.25">
      <c r="A1" s="336" t="str">
        <f>Stigninger!A4</f>
        <v>B. Ambulance</v>
      </c>
      <c r="B1" s="31" t="str">
        <f>Stigninger!$B$1</f>
        <v>Udgangs-</v>
      </c>
      <c r="C1" s="29" t="str">
        <f>Stigninger!$C$1</f>
        <v>1. marts</v>
      </c>
      <c r="D1" s="92" t="str">
        <f>Stigninger!$D$1</f>
        <v>1. marts</v>
      </c>
      <c r="E1" s="27" t="str">
        <f>Stigninger!$E$1</f>
        <v>1. marts</v>
      </c>
    </row>
    <row r="2" spans="1:5" ht="15.75" x14ac:dyDescent="0.25">
      <c r="A2" s="346"/>
      <c r="B2" s="32" t="str">
        <f>Stigninger!$B$2</f>
        <v>punkt</v>
      </c>
      <c r="C2" s="30">
        <f>Stigninger!$C$2</f>
        <v>2020</v>
      </c>
      <c r="D2" s="93">
        <f>Stigninger!$D$2</f>
        <v>2021</v>
      </c>
      <c r="E2" s="28">
        <f>Stigninger!$E$2</f>
        <v>2022</v>
      </c>
    </row>
    <row r="3" spans="1:5" ht="15.75" x14ac:dyDescent="0.25">
      <c r="A3" s="139" t="str">
        <f>Stigninger!A6</f>
        <v>Grundløn, pr. måned</v>
      </c>
      <c r="B3" s="40">
        <f>Stigninger!B6</f>
        <v>24936.79</v>
      </c>
      <c r="C3" s="74">
        <f>ROUND(B3+Stigninger!C6,2)</f>
        <v>25449.85</v>
      </c>
      <c r="D3" s="13">
        <f>ROUND(C3+Stigninger!D6,2)</f>
        <v>25962.91</v>
      </c>
      <c r="E3" s="79">
        <f>ROUND(D3+Stigninger!E6,2)</f>
        <v>26467.95</v>
      </c>
    </row>
    <row r="4" spans="1:5" ht="15.75" x14ac:dyDescent="0.25">
      <c r="A4" s="116" t="str">
        <f>Stigninger!A7</f>
        <v>Kvalifikationsløn</v>
      </c>
      <c r="B4" s="177"/>
      <c r="C4" s="115"/>
      <c r="D4" s="23"/>
      <c r="E4" s="104"/>
    </row>
    <row r="5" spans="1:5" x14ac:dyDescent="0.2">
      <c r="A5" s="72" t="str">
        <f>Stigninger!A8</f>
        <v>A. Ambulanceassistent</v>
      </c>
      <c r="B5" s="21">
        <f>Stigninger!B8</f>
        <v>1033.8699999999999</v>
      </c>
      <c r="C5" s="77">
        <f>ROUND(B5+Stigninger!C8,2)</f>
        <v>1033.8699999999999</v>
      </c>
      <c r="D5" s="14">
        <f>ROUND(C5+Stigninger!D8,2)</f>
        <v>1033.8699999999999</v>
      </c>
      <c r="E5" s="178">
        <f>ROUND(D5+Stigninger!E8,2)</f>
        <v>1033.8699999999999</v>
      </c>
    </row>
    <row r="6" spans="1:5" x14ac:dyDescent="0.2">
      <c r="A6" s="72" t="str">
        <f>Stigninger!A9</f>
        <v>B. Ambulancebehandler</v>
      </c>
      <c r="B6" s="21">
        <f>Stigninger!B9</f>
        <v>2023.94</v>
      </c>
      <c r="C6" s="77">
        <f>ROUND(B6+Stigninger!C9,2)</f>
        <v>2023.94</v>
      </c>
      <c r="D6" s="14">
        <f>ROUND(C6+Stigninger!D9,2)</f>
        <v>2023.94</v>
      </c>
      <c r="E6" s="178">
        <f>ROUND(D6+Stigninger!E9,2)</f>
        <v>2023.94</v>
      </c>
    </row>
    <row r="7" spans="1:5" x14ac:dyDescent="0.2">
      <c r="A7" s="72" t="str">
        <f>Stigninger!A10</f>
        <v>C. Paramediciner</v>
      </c>
      <c r="B7" s="21">
        <f>Stigninger!B10</f>
        <v>2453.65</v>
      </c>
      <c r="C7" s="77">
        <f>ROUND(B7+Stigninger!C10,2)</f>
        <v>2453.65</v>
      </c>
      <c r="D7" s="14">
        <f>ROUND(C7+Stigninger!D10,2)</f>
        <v>2453.65</v>
      </c>
      <c r="E7" s="178">
        <f>ROUND(D7+Stigninger!E10,2)</f>
        <v>2453.65</v>
      </c>
    </row>
    <row r="8" spans="1:5" ht="15.75" x14ac:dyDescent="0.25">
      <c r="A8" s="116" t="str">
        <f>Stigninger!A11</f>
        <v>Reddertillæg</v>
      </c>
      <c r="B8" s="21">
        <f>Stigninger!B11</f>
        <v>792</v>
      </c>
      <c r="C8" s="77">
        <f>ROUND(B8+Stigninger!C11,2)</f>
        <v>792</v>
      </c>
      <c r="D8" s="14">
        <f>ROUND(C8+Stigninger!D11,2)</f>
        <v>792</v>
      </c>
      <c r="E8" s="178">
        <f>ROUND(D8+Stigninger!E11,2)</f>
        <v>792</v>
      </c>
    </row>
    <row r="9" spans="1:5" ht="15.75" x14ac:dyDescent="0.25">
      <c r="A9" s="116" t="str">
        <f>Stigninger!A12</f>
        <v>Særligt tillæg</v>
      </c>
      <c r="B9" s="21">
        <f>Stigninger!B12</f>
        <v>112</v>
      </c>
      <c r="C9" s="77">
        <f>ROUND(B9+Stigninger!C12,2)</f>
        <v>112</v>
      </c>
      <c r="D9" s="14">
        <f>ROUND(C9+Stigninger!D12,2)</f>
        <v>112</v>
      </c>
      <c r="E9" s="178">
        <f>ROUND(D9+Stigninger!E12,2)</f>
        <v>112</v>
      </c>
    </row>
    <row r="10" spans="1:5" ht="15.75" x14ac:dyDescent="0.25">
      <c r="A10" s="116" t="str">
        <f>Stigninger!A13</f>
        <v>Anciennitetstillæg</v>
      </c>
      <c r="B10" s="19"/>
      <c r="C10" s="46"/>
      <c r="D10" s="2"/>
      <c r="E10" s="5"/>
    </row>
    <row r="11" spans="1:5" x14ac:dyDescent="0.2">
      <c r="A11" s="72" t="str">
        <f>Stigninger!A14</f>
        <v>01. Nyansatte</v>
      </c>
      <c r="B11" s="21">
        <f>Stigninger!B14</f>
        <v>0</v>
      </c>
      <c r="C11" s="77">
        <f>ROUND(B11+Stigninger!C14,2)</f>
        <v>0</v>
      </c>
      <c r="D11" s="14">
        <f>ROUND(C11+Stigninger!D14,2)</f>
        <v>0</v>
      </c>
      <c r="E11" s="178">
        <f>ROUND(D11+Stigninger!E14,2)</f>
        <v>0</v>
      </c>
    </row>
    <row r="12" spans="1:5" x14ac:dyDescent="0.2">
      <c r="A12" s="72" t="str">
        <f>Stigninger!A15</f>
        <v>02. Efter 1 års tjeneste</v>
      </c>
      <c r="B12" s="21">
        <f>Stigninger!B15</f>
        <v>0</v>
      </c>
      <c r="C12" s="77">
        <f>ROUND(B12+Stigninger!C15,2)</f>
        <v>0</v>
      </c>
      <c r="D12" s="14">
        <f>ROUND(C12+Stigninger!D15,2)</f>
        <v>0</v>
      </c>
      <c r="E12" s="178">
        <f>ROUND(D12+Stigninger!E15,2)</f>
        <v>0</v>
      </c>
    </row>
    <row r="13" spans="1:5" x14ac:dyDescent="0.2">
      <c r="A13" s="72" t="str">
        <f>Stigninger!A16</f>
        <v>03. Efter 2 års tjeneste</v>
      </c>
      <c r="B13" s="21">
        <f>Stigninger!B16</f>
        <v>1052.1500000000001</v>
      </c>
      <c r="C13" s="77">
        <f>ROUND(B13+Stigninger!C16,2)</f>
        <v>1052.1500000000001</v>
      </c>
      <c r="D13" s="14">
        <f>ROUND(C13+Stigninger!D16,2)</f>
        <v>1052.1500000000001</v>
      </c>
      <c r="E13" s="178">
        <f>ROUND(D13+Stigninger!E16,2)</f>
        <v>1052.1500000000001</v>
      </c>
    </row>
    <row r="14" spans="1:5" x14ac:dyDescent="0.2">
      <c r="A14" s="72" t="str">
        <f>Stigninger!A17</f>
        <v>04. Efter 3 års tjeneste</v>
      </c>
      <c r="B14" s="21">
        <f>Stigninger!B17</f>
        <v>1104.9000000000001</v>
      </c>
      <c r="C14" s="77">
        <f>ROUND(B14+Stigninger!C17,2)</f>
        <v>1104.9000000000001</v>
      </c>
      <c r="D14" s="14">
        <f>ROUND(C14+Stigninger!D17,2)</f>
        <v>1104.9000000000001</v>
      </c>
      <c r="E14" s="178">
        <f>ROUND(D14+Stigninger!E17,2)</f>
        <v>1104.9000000000001</v>
      </c>
    </row>
    <row r="15" spans="1:5" x14ac:dyDescent="0.2">
      <c r="A15" s="72" t="str">
        <f>Stigninger!A18</f>
        <v>05. Efter 4 års tjeneste</v>
      </c>
      <c r="B15" s="21">
        <f>Stigninger!B18</f>
        <v>1104.9000000000001</v>
      </c>
      <c r="C15" s="77">
        <f>ROUND(B15+Stigninger!C18,2)</f>
        <v>1104.9000000000001</v>
      </c>
      <c r="D15" s="14">
        <f>ROUND(C15+Stigninger!D18,2)</f>
        <v>1104.9000000000001</v>
      </c>
      <c r="E15" s="178">
        <f>ROUND(D15+Stigninger!E18,2)</f>
        <v>1104.9000000000001</v>
      </c>
    </row>
    <row r="16" spans="1:5" x14ac:dyDescent="0.2">
      <c r="A16" s="72" t="str">
        <f>Stigninger!A19</f>
        <v>06. Efter 5 års tjeneste</v>
      </c>
      <c r="B16" s="21">
        <f>Stigninger!B19</f>
        <v>1210.4000000000001</v>
      </c>
      <c r="C16" s="77">
        <f>ROUND(B16+Stigninger!C19,2)</f>
        <v>1210.4000000000001</v>
      </c>
      <c r="D16" s="14">
        <f>ROUND(C16+Stigninger!D19,2)</f>
        <v>1210.4000000000001</v>
      </c>
      <c r="E16" s="178">
        <f>ROUND(D16+Stigninger!E19,2)</f>
        <v>1210.4000000000001</v>
      </c>
    </row>
    <row r="17" spans="1:5" x14ac:dyDescent="0.2">
      <c r="A17" s="72" t="str">
        <f>Stigninger!A20</f>
        <v>07. Efter 6 års tjeneste</v>
      </c>
      <c r="B17" s="21">
        <f>Stigninger!B20</f>
        <v>1210.4000000000001</v>
      </c>
      <c r="C17" s="77">
        <f>ROUND(B17+Stigninger!C20,2)</f>
        <v>1210.4000000000001</v>
      </c>
      <c r="D17" s="14">
        <f>ROUND(C17+Stigninger!D20,2)</f>
        <v>1210.4000000000001</v>
      </c>
      <c r="E17" s="178">
        <f>ROUND(D17+Stigninger!E20,2)</f>
        <v>1210.4000000000001</v>
      </c>
    </row>
    <row r="18" spans="1:5" x14ac:dyDescent="0.2">
      <c r="A18" s="72" t="str">
        <f>Stigninger!A21</f>
        <v>08. Efter 7 års tjeneste</v>
      </c>
      <c r="B18" s="21">
        <f>Stigninger!B21</f>
        <v>1268.43</v>
      </c>
      <c r="C18" s="77">
        <f>ROUND(B18+Stigninger!C21,2)</f>
        <v>1268.43</v>
      </c>
      <c r="D18" s="14">
        <f>ROUND(C18+Stigninger!D21,2)</f>
        <v>1268.43</v>
      </c>
      <c r="E18" s="178">
        <f>ROUND(D18+Stigninger!E21,2)</f>
        <v>1268.43</v>
      </c>
    </row>
    <row r="19" spans="1:5" x14ac:dyDescent="0.2">
      <c r="A19" s="72" t="str">
        <f>Stigninger!A22</f>
        <v>09. Efter 8 års tjeneste</v>
      </c>
      <c r="B19" s="21">
        <f>Stigninger!B22</f>
        <v>1268.43</v>
      </c>
      <c r="C19" s="77">
        <f>ROUND(B19+Stigninger!C22,2)</f>
        <v>1268.43</v>
      </c>
      <c r="D19" s="14">
        <f>ROUND(C19+Stigninger!D22,2)</f>
        <v>1268.43</v>
      </c>
      <c r="E19" s="178">
        <f>ROUND(D19+Stigninger!E22,2)</f>
        <v>1268.43</v>
      </c>
    </row>
    <row r="20" spans="1:5" x14ac:dyDescent="0.2">
      <c r="A20" s="72" t="str">
        <f>Stigninger!A23</f>
        <v>10. Efter 9 års tjeneste</v>
      </c>
      <c r="B20" s="21">
        <f>Stigninger!B23</f>
        <v>1326.45</v>
      </c>
      <c r="C20" s="77">
        <f>ROUND(B20+Stigninger!C23,2)</f>
        <v>1326.45</v>
      </c>
      <c r="D20" s="14">
        <f>ROUND(C20+Stigninger!D23,2)</f>
        <v>1326.45</v>
      </c>
      <c r="E20" s="178">
        <f>ROUND(D20+Stigninger!E23,2)</f>
        <v>1326.45</v>
      </c>
    </row>
    <row r="21" spans="1:5" x14ac:dyDescent="0.2">
      <c r="A21" s="72" t="str">
        <f>Stigninger!A24</f>
        <v>11. Efter 10 års tjeneste</v>
      </c>
      <c r="B21" s="21">
        <f>Stigninger!B24</f>
        <v>1326.45</v>
      </c>
      <c r="C21" s="77">
        <f>ROUND(B21+Stigninger!C24,2)</f>
        <v>1326.45</v>
      </c>
      <c r="D21" s="14">
        <f>ROUND(C21+Stigninger!D24,2)</f>
        <v>1326.45</v>
      </c>
      <c r="E21" s="178">
        <f>ROUND(D21+Stigninger!E24,2)</f>
        <v>1326.45</v>
      </c>
    </row>
    <row r="22" spans="1:5" x14ac:dyDescent="0.2">
      <c r="A22" s="72" t="str">
        <f>Stigninger!A25</f>
        <v>12. Efter 11 års tjeneste</v>
      </c>
      <c r="B22" s="21">
        <f>Stigninger!B25</f>
        <v>1379.2</v>
      </c>
      <c r="C22" s="77">
        <f>ROUND(B22+Stigninger!C25,2)</f>
        <v>1379.2</v>
      </c>
      <c r="D22" s="14">
        <f>ROUND(C22+Stigninger!D25,2)</f>
        <v>1379.2</v>
      </c>
      <c r="E22" s="178">
        <f>ROUND(D22+Stigninger!E25,2)</f>
        <v>1379.2</v>
      </c>
    </row>
    <row r="23" spans="1:5" x14ac:dyDescent="0.2">
      <c r="A23" s="72" t="str">
        <f>Stigninger!A26</f>
        <v>13. Efter 12 års tjeneste</v>
      </c>
      <c r="B23" s="21">
        <f>Stigninger!B26</f>
        <v>1379.2</v>
      </c>
      <c r="C23" s="77">
        <f>ROUND(B23+Stigninger!C26,2)</f>
        <v>1379.2</v>
      </c>
      <c r="D23" s="14">
        <f>ROUND(C23+Stigninger!D26,2)</f>
        <v>1379.2</v>
      </c>
      <c r="E23" s="178">
        <f>ROUND(D23+Stigninger!E26,2)</f>
        <v>1379.2</v>
      </c>
    </row>
    <row r="24" spans="1:5" x14ac:dyDescent="0.2">
      <c r="A24" s="72" t="str">
        <f>Stigninger!A27</f>
        <v>14. Efter 13 års tjeneste</v>
      </c>
      <c r="B24" s="21">
        <f>Stigninger!B27</f>
        <v>1442.5</v>
      </c>
      <c r="C24" s="77">
        <f>ROUND(B24+Stigninger!C27,2)</f>
        <v>1442.5</v>
      </c>
      <c r="D24" s="14">
        <f>ROUND(C24+Stigninger!D27,2)</f>
        <v>1442.5</v>
      </c>
      <c r="E24" s="178">
        <f>ROUND(D24+Stigninger!E27,2)</f>
        <v>1442.5</v>
      </c>
    </row>
    <row r="25" spans="1:5" ht="15.75" x14ac:dyDescent="0.25">
      <c r="A25" s="168" t="str">
        <f>Stigninger!A28</f>
        <v>Geneløn ekskl. helligdagstillæg</v>
      </c>
      <c r="B25" s="19"/>
      <c r="C25" s="14">
        <v>1.6E-2</v>
      </c>
      <c r="D25" s="9"/>
      <c r="E25" s="12"/>
    </row>
    <row r="26" spans="1:5" x14ac:dyDescent="0.2">
      <c r="A26" s="176" t="str">
        <f>Stigninger!A29</f>
        <v>Gældende for hovedvagter</v>
      </c>
      <c r="B26" s="19"/>
      <c r="C26" s="14"/>
      <c r="D26" s="9"/>
      <c r="E26" s="12"/>
    </row>
    <row r="27" spans="1:5" x14ac:dyDescent="0.2">
      <c r="A27" s="176" t="s">
        <v>69</v>
      </c>
      <c r="B27" s="19"/>
      <c r="C27" s="112">
        <v>1.6E-2</v>
      </c>
      <c r="D27" s="113">
        <v>1.6E-2</v>
      </c>
      <c r="E27" s="114">
        <v>1.6E-2</v>
      </c>
    </row>
    <row r="28" spans="1:5" ht="15.75" x14ac:dyDescent="0.25">
      <c r="A28" s="168" t="str">
        <f>Stigninger!A30</f>
        <v>Vagtordning</v>
      </c>
      <c r="B28" s="19"/>
      <c r="C28" s="14"/>
      <c r="D28" s="9"/>
      <c r="E28" s="12"/>
    </row>
    <row r="29" spans="1:5" x14ac:dyDescent="0.2">
      <c r="A29" s="176" t="str">
        <f>Stigninger!A31</f>
        <v>01. Dagvagt</v>
      </c>
      <c r="B29" s="21">
        <f>Stigninger!B31</f>
        <v>0</v>
      </c>
      <c r="C29" s="14">
        <f>B29+ROUND(B29*$C$27,2)</f>
        <v>0</v>
      </c>
      <c r="D29" s="14">
        <f>C29+ROUND(C29*$D$27,2)</f>
        <v>0</v>
      </c>
      <c r="E29" s="14">
        <f>D29+ROUND(D29*$E$27,2)</f>
        <v>0</v>
      </c>
    </row>
    <row r="30" spans="1:5" x14ac:dyDescent="0.2">
      <c r="A30" s="176" t="str">
        <f>Stigninger!A32</f>
        <v>02. 2-skiftet vagt</v>
      </c>
      <c r="B30" s="21">
        <f>Stigninger!B32</f>
        <v>984.34</v>
      </c>
      <c r="C30" s="14">
        <f t="shared" ref="C30:C47" si="0">B30+ROUND(B30*$C$27,2)</f>
        <v>1000.09</v>
      </c>
      <c r="D30" s="14">
        <f t="shared" ref="D30:D47" si="1">C30+ROUND(C30*$D$27,2)</f>
        <v>1016.09</v>
      </c>
      <c r="E30" s="14">
        <f t="shared" ref="E30:E47" si="2">D30+ROUND(D30*$E$27,2)</f>
        <v>1032.3500000000001</v>
      </c>
    </row>
    <row r="31" spans="1:5" x14ac:dyDescent="0.2">
      <c r="A31" s="176" t="str">
        <f>Stigninger!A33</f>
        <v>03. 3+2+2-vagt</v>
      </c>
      <c r="B31" s="21">
        <f>Stigninger!B33</f>
        <v>2400.88</v>
      </c>
      <c r="C31" s="14">
        <f t="shared" si="0"/>
        <v>2439.29</v>
      </c>
      <c r="D31" s="14">
        <f t="shared" si="1"/>
        <v>2478.3200000000002</v>
      </c>
      <c r="E31" s="14">
        <f t="shared" si="2"/>
        <v>2517.9700000000003</v>
      </c>
    </row>
    <row r="32" spans="1:5" x14ac:dyDescent="0.2">
      <c r="A32" s="176" t="str">
        <f>Stigninger!A34</f>
        <v>04. Dag/aftenvagt</v>
      </c>
      <c r="B32" s="21">
        <f>Stigninger!B34</f>
        <v>2512.69</v>
      </c>
      <c r="C32" s="14">
        <f t="shared" si="0"/>
        <v>2552.89</v>
      </c>
      <c r="D32" s="14">
        <f t="shared" si="1"/>
        <v>2593.7399999999998</v>
      </c>
      <c r="E32" s="14">
        <f t="shared" si="2"/>
        <v>2635.24</v>
      </c>
    </row>
    <row r="33" spans="1:5" x14ac:dyDescent="0.2">
      <c r="A33" s="176" t="str">
        <f>Stigninger!A35</f>
        <v>05. DDAA-vagt</v>
      </c>
      <c r="B33" s="21">
        <f>Stigninger!B35</f>
        <v>2959.67</v>
      </c>
      <c r="C33" s="14">
        <f t="shared" si="0"/>
        <v>3007.02</v>
      </c>
      <c r="D33" s="14">
        <f t="shared" si="1"/>
        <v>3055.13</v>
      </c>
      <c r="E33" s="14">
        <f t="shared" si="2"/>
        <v>3104.01</v>
      </c>
    </row>
    <row r="34" spans="1:5" x14ac:dyDescent="0.2">
      <c r="A34" s="176" t="str">
        <f>Stigninger!A36</f>
        <v>06. DDN-vagt</v>
      </c>
      <c r="B34" s="21">
        <f>Stigninger!B36</f>
        <v>3432.78</v>
      </c>
      <c r="C34" s="14">
        <f t="shared" si="0"/>
        <v>3487.7000000000003</v>
      </c>
      <c r="D34" s="14">
        <f t="shared" si="1"/>
        <v>3543.5000000000005</v>
      </c>
      <c r="E34" s="14">
        <f t="shared" si="2"/>
        <v>3600.2000000000003</v>
      </c>
    </row>
    <row r="35" spans="1:5" x14ac:dyDescent="0.2">
      <c r="A35" s="176" t="str">
        <f>Stigninger!A37</f>
        <v>07A. Døgnvagt</v>
      </c>
      <c r="B35" s="21">
        <f>Stigninger!B37</f>
        <v>3790.73</v>
      </c>
      <c r="C35" s="14">
        <f t="shared" si="0"/>
        <v>3851.38</v>
      </c>
      <c r="D35" s="14">
        <f t="shared" si="1"/>
        <v>3913</v>
      </c>
      <c r="E35" s="14">
        <f t="shared" si="2"/>
        <v>3975.61</v>
      </c>
    </row>
    <row r="36" spans="1:5" x14ac:dyDescent="0.2">
      <c r="A36" s="176" t="str">
        <f>Stigninger!A38</f>
        <v>07B1. Garantidøgnvagt DV9</v>
      </c>
      <c r="B36" s="21">
        <f>Stigninger!B38</f>
        <v>4144.84</v>
      </c>
      <c r="C36" s="14">
        <f t="shared" si="0"/>
        <v>4211.16</v>
      </c>
      <c r="D36" s="14">
        <f t="shared" si="1"/>
        <v>4278.54</v>
      </c>
      <c r="E36" s="14">
        <f t="shared" si="2"/>
        <v>4347</v>
      </c>
    </row>
    <row r="37" spans="1:5" x14ac:dyDescent="0.2">
      <c r="A37" s="176" t="str">
        <f>Stigninger!A39</f>
        <v>07B2. Garantidøgnvagt DV10</v>
      </c>
      <c r="B37" s="21">
        <f>Stigninger!B39</f>
        <v>4156.83</v>
      </c>
      <c r="C37" s="14">
        <f t="shared" si="0"/>
        <v>4223.34</v>
      </c>
      <c r="D37" s="14">
        <f t="shared" si="1"/>
        <v>4290.91</v>
      </c>
      <c r="E37" s="14">
        <f t="shared" si="2"/>
        <v>4359.5599999999995</v>
      </c>
    </row>
    <row r="38" spans="1:5" x14ac:dyDescent="0.2">
      <c r="A38" s="176" t="str">
        <f>Stigninger!A40</f>
        <v>07B3. Garantidøgnvagt DV11</v>
      </c>
      <c r="B38" s="21">
        <f>Stigninger!B40</f>
        <v>4148.68</v>
      </c>
      <c r="C38" s="14">
        <f t="shared" si="0"/>
        <v>4215.0600000000004</v>
      </c>
      <c r="D38" s="14">
        <f t="shared" si="1"/>
        <v>4282.5</v>
      </c>
      <c r="E38" s="14">
        <f t="shared" si="2"/>
        <v>4351.0200000000004</v>
      </c>
    </row>
    <row r="39" spans="1:5" x14ac:dyDescent="0.2">
      <c r="A39" s="176" t="str">
        <f>Stigninger!A41</f>
        <v>07B4. Garantidøgnvagt DV12</v>
      </c>
      <c r="B39" s="21">
        <f>Stigninger!B41</f>
        <v>4140.7</v>
      </c>
      <c r="C39" s="14">
        <f t="shared" si="0"/>
        <v>4206.95</v>
      </c>
      <c r="D39" s="14">
        <f t="shared" si="1"/>
        <v>4274.26</v>
      </c>
      <c r="E39" s="14">
        <f t="shared" si="2"/>
        <v>4342.6500000000005</v>
      </c>
    </row>
    <row r="40" spans="1:5" x14ac:dyDescent="0.2">
      <c r="A40" s="176" t="str">
        <f>Stigninger!A42</f>
        <v>07B5. Garantidøgnvagt DV13</v>
      </c>
      <c r="B40" s="21">
        <f>Stigninger!B42</f>
        <v>4194.51</v>
      </c>
      <c r="C40" s="14">
        <f t="shared" si="0"/>
        <v>4261.62</v>
      </c>
      <c r="D40" s="14">
        <f t="shared" si="1"/>
        <v>4329.8099999999995</v>
      </c>
      <c r="E40" s="14">
        <f t="shared" si="2"/>
        <v>4399.0899999999992</v>
      </c>
    </row>
    <row r="41" spans="1:5" x14ac:dyDescent="0.2">
      <c r="A41" s="176" t="str">
        <f>Stigninger!A43</f>
        <v>08. 3-skiftet vagt</v>
      </c>
      <c r="B41" s="21">
        <f>Stigninger!B43</f>
        <v>3229.26</v>
      </c>
      <c r="C41" s="14">
        <f t="shared" si="0"/>
        <v>3280.9300000000003</v>
      </c>
      <c r="D41" s="14">
        <f t="shared" si="1"/>
        <v>3333.42</v>
      </c>
      <c r="E41" s="14">
        <f t="shared" si="2"/>
        <v>3386.75</v>
      </c>
    </row>
    <row r="42" spans="1:5" x14ac:dyDescent="0.2">
      <c r="A42" s="176" t="str">
        <f>Stigninger!A44</f>
        <v>09. 3+2+2 med 3 A-vagter</v>
      </c>
      <c r="B42" s="21">
        <f>Stigninger!B44</f>
        <v>2200.64</v>
      </c>
      <c r="C42" s="14">
        <f t="shared" si="0"/>
        <v>2235.85</v>
      </c>
      <c r="D42" s="14">
        <f t="shared" si="1"/>
        <v>2271.62</v>
      </c>
      <c r="E42" s="14">
        <f t="shared" si="2"/>
        <v>2307.9699999999998</v>
      </c>
    </row>
    <row r="43" spans="1:5" x14ac:dyDescent="0.2">
      <c r="A43" s="176" t="str">
        <f>Stigninger!A45</f>
        <v>09. 3+2+2 med 4 A-vagter</v>
      </c>
      <c r="B43" s="21">
        <f>Stigninger!B45</f>
        <v>2103.36</v>
      </c>
      <c r="C43" s="14">
        <f t="shared" si="0"/>
        <v>2137.0100000000002</v>
      </c>
      <c r="D43" s="14">
        <f t="shared" si="1"/>
        <v>2171.2000000000003</v>
      </c>
      <c r="E43" s="14">
        <f t="shared" si="2"/>
        <v>2205.94</v>
      </c>
    </row>
    <row r="44" spans="1:5" x14ac:dyDescent="0.2">
      <c r="A44" s="176" t="str">
        <f>Stigninger!A46</f>
        <v>10. DN-vagt</v>
      </c>
      <c r="B44" s="21">
        <f>Stigninger!B46</f>
        <v>4154.0200000000004</v>
      </c>
      <c r="C44" s="14">
        <f t="shared" si="0"/>
        <v>4220.4800000000005</v>
      </c>
      <c r="D44" s="14">
        <f t="shared" si="1"/>
        <v>4288.01</v>
      </c>
      <c r="E44" s="14">
        <f t="shared" si="2"/>
        <v>4356.62</v>
      </c>
    </row>
    <row r="45" spans="1:5" x14ac:dyDescent="0.2">
      <c r="A45" s="176" t="str">
        <f>Stigninger!A47</f>
        <v>11. Døgnvagt 87</v>
      </c>
      <c r="B45" s="21">
        <f>Stigninger!B47</f>
        <v>3992.89</v>
      </c>
      <c r="C45" s="14">
        <f t="shared" si="0"/>
        <v>4056.7799999999997</v>
      </c>
      <c r="D45" s="14">
        <f t="shared" si="1"/>
        <v>4121.6899999999996</v>
      </c>
      <c r="E45" s="14">
        <f t="shared" si="2"/>
        <v>4187.6399999999994</v>
      </c>
    </row>
    <row r="46" spans="1:5" x14ac:dyDescent="0.2">
      <c r="A46" s="176" t="str">
        <f>Stigninger!A48</f>
        <v>12. Døgnvagt 89</v>
      </c>
      <c r="B46" s="21">
        <f>Stigninger!B48</f>
        <v>3968.61</v>
      </c>
      <c r="C46" s="14">
        <f t="shared" si="0"/>
        <v>4032.11</v>
      </c>
      <c r="D46" s="14">
        <f t="shared" si="1"/>
        <v>4096.62</v>
      </c>
      <c r="E46" s="14">
        <f t="shared" si="2"/>
        <v>4162.17</v>
      </c>
    </row>
    <row r="47" spans="1:5" x14ac:dyDescent="0.2">
      <c r="A47" s="176" t="str">
        <f>Stigninger!A49</f>
        <v>13. Døgnvagt 92</v>
      </c>
      <c r="B47" s="21">
        <f>Stigninger!B49</f>
        <v>3928.67</v>
      </c>
      <c r="C47" s="14">
        <f t="shared" si="0"/>
        <v>3991.53</v>
      </c>
      <c r="D47" s="14">
        <f t="shared" si="1"/>
        <v>4055.3900000000003</v>
      </c>
      <c r="E47" s="14">
        <f t="shared" si="2"/>
        <v>4120.2800000000007</v>
      </c>
    </row>
    <row r="48" spans="1:5" ht="15.75" x14ac:dyDescent="0.25">
      <c r="A48" s="122" t="str">
        <f>Stigninger!A50</f>
        <v>Ferietillæg</v>
      </c>
      <c r="B48" s="130">
        <f>Stigninger!B50</f>
        <v>2.5000000000000001E-2</v>
      </c>
      <c r="C48" s="137">
        <f>B48+Stigninger!C50</f>
        <v>2.5000000000000001E-2</v>
      </c>
      <c r="D48" s="98">
        <f>C48+Stigninger!D50</f>
        <v>2.5000000000000001E-2</v>
      </c>
      <c r="E48" s="138">
        <f>D48+Stigninger!E50</f>
        <v>2.5000000000000001E-2</v>
      </c>
    </row>
    <row r="49" spans="1:5" ht="15.75" x14ac:dyDescent="0.25">
      <c r="A49" s="122" t="str">
        <f>Stigninger!A51</f>
        <v>Særlig opsparing, inkl. feriepenge</v>
      </c>
      <c r="B49" s="131">
        <f>Stigninger!B51</f>
        <v>0.04</v>
      </c>
      <c r="C49" s="128">
        <f>B49+Stigninger!C51</f>
        <v>0.05</v>
      </c>
      <c r="D49" s="81">
        <f>C49+Stigninger!D51</f>
        <v>6.0000000000000005E-2</v>
      </c>
      <c r="E49" s="129">
        <f>D49+Stigninger!E51</f>
        <v>7.0000000000000007E-2</v>
      </c>
    </row>
    <row r="50" spans="1:5" ht="15.75" x14ac:dyDescent="0.25">
      <c r="A50" s="179"/>
      <c r="B50" s="180"/>
      <c r="C50" s="22"/>
      <c r="D50" s="22"/>
      <c r="E50" s="22"/>
    </row>
    <row r="51" spans="1:5" ht="15.75" x14ac:dyDescent="0.25">
      <c r="A51" s="181"/>
      <c r="B51" s="182"/>
      <c r="C51" s="38"/>
      <c r="D51" s="38"/>
      <c r="E51" s="38"/>
    </row>
    <row r="52" spans="1:5" ht="15.75" x14ac:dyDescent="0.25">
      <c r="A52" s="334" t="str">
        <f>Stigninger!A52</f>
        <v>C. Brand</v>
      </c>
      <c r="B52" s="31" t="str">
        <f>Stigninger!$B$1</f>
        <v>Udgangs-</v>
      </c>
      <c r="C52" s="29" t="str">
        <f>Stigninger!$C$1</f>
        <v>1. marts</v>
      </c>
      <c r="D52" s="92" t="str">
        <f>Stigninger!$D$1</f>
        <v>1. marts</v>
      </c>
      <c r="E52" s="27" t="str">
        <f>Stigninger!$E$1</f>
        <v>1. marts</v>
      </c>
    </row>
    <row r="53" spans="1:5" ht="15.75" x14ac:dyDescent="0.25">
      <c r="A53" s="341"/>
      <c r="B53" s="32" t="str">
        <f>Stigninger!$B$2</f>
        <v>punkt</v>
      </c>
      <c r="C53" s="30">
        <f>Stigninger!$C$2</f>
        <v>2020</v>
      </c>
      <c r="D53" s="93">
        <f>Stigninger!$D$2</f>
        <v>2021</v>
      </c>
      <c r="E53" s="28">
        <f>Stigninger!$E$2</f>
        <v>2022</v>
      </c>
    </row>
    <row r="54" spans="1:5" ht="15.75" x14ac:dyDescent="0.25">
      <c r="A54" s="242" t="str">
        <f>Stigninger!A54</f>
        <v>Grundløn, pr. måned</v>
      </c>
      <c r="B54" s="34">
        <f>Stigninger!B54</f>
        <v>24737.07</v>
      </c>
      <c r="C54" s="13">
        <f>ROUND(B54+Stigninger!C54,2)</f>
        <v>25250.13</v>
      </c>
      <c r="D54" s="10">
        <f>ROUND(C54+Stigninger!D54,2)</f>
        <v>25763.19</v>
      </c>
      <c r="E54" s="11">
        <f>ROUND(D54+Stigninger!E54,2)</f>
        <v>26268.23</v>
      </c>
    </row>
    <row r="55" spans="1:5" ht="15.75" x14ac:dyDescent="0.25">
      <c r="A55" s="168" t="str">
        <f>Stigninger!A55</f>
        <v>Kvalifikationsløn</v>
      </c>
      <c r="B55" s="21">
        <f>Stigninger!B55</f>
        <v>792.74</v>
      </c>
      <c r="C55" s="14">
        <f>ROUND(B55+Stigninger!C55,2)</f>
        <v>792.74</v>
      </c>
      <c r="D55" s="14">
        <f>ROUND(C55+Stigninger!D55,2)</f>
        <v>792.74</v>
      </c>
      <c r="E55" s="12">
        <f>ROUND(D55+Stigninger!E55,2)</f>
        <v>792.74</v>
      </c>
    </row>
    <row r="56" spans="1:5" ht="15.75" x14ac:dyDescent="0.25">
      <c r="A56" s="168" t="str">
        <f>Stigninger!A56</f>
        <v>Reddertillæg</v>
      </c>
      <c r="B56" s="21">
        <f>Stigninger!B56</f>
        <v>792</v>
      </c>
      <c r="C56" s="14">
        <f>ROUND(B56+Stigninger!C56,2)</f>
        <v>792</v>
      </c>
      <c r="D56" s="14">
        <f>ROUND(C56+Stigninger!D56,2)</f>
        <v>792</v>
      </c>
      <c r="E56" s="12">
        <f>ROUND(D56+Stigninger!E56,2)</f>
        <v>792</v>
      </c>
    </row>
    <row r="57" spans="1:5" ht="15.75" x14ac:dyDescent="0.25">
      <c r="A57" s="168" t="str">
        <f>Stigninger!A57</f>
        <v>Særligt tillæg</v>
      </c>
      <c r="B57" s="21">
        <f>Stigninger!B57</f>
        <v>112</v>
      </c>
      <c r="C57" s="14">
        <f>ROUND(B57+Stigninger!C57,2)</f>
        <v>112</v>
      </c>
      <c r="D57" s="14">
        <f>ROUND(C57+Stigninger!D57,2)</f>
        <v>112</v>
      </c>
      <c r="E57" s="12">
        <f>ROUND(D57+Stigninger!E57,2)</f>
        <v>112</v>
      </c>
    </row>
    <row r="58" spans="1:5" ht="15.75" x14ac:dyDescent="0.25">
      <c r="A58" s="168" t="str">
        <f>Stigninger!A58</f>
        <v>Anciennitetstillæg</v>
      </c>
      <c r="B58" s="19"/>
      <c r="C58" s="14"/>
      <c r="D58" s="14"/>
      <c r="E58" s="12"/>
    </row>
    <row r="59" spans="1:5" x14ac:dyDescent="0.2">
      <c r="A59" s="107" t="str">
        <f>Stigninger!A59</f>
        <v>01. Efter 1 år</v>
      </c>
      <c r="B59" s="19">
        <f>Stigninger!B59</f>
        <v>753.56</v>
      </c>
      <c r="C59" s="14">
        <f>ROUND(B59+Stigninger!C59,2)</f>
        <v>753.56</v>
      </c>
      <c r="D59" s="14">
        <f>ROUND(C59+Stigninger!D59,2)</f>
        <v>753.56</v>
      </c>
      <c r="E59" s="12">
        <f>ROUND(D59+Stigninger!E59,2)</f>
        <v>753.56</v>
      </c>
    </row>
    <row r="60" spans="1:5" x14ac:dyDescent="0.2">
      <c r="A60" s="107" t="str">
        <f>Stigninger!A60</f>
        <v>02. Efter 3 år</v>
      </c>
      <c r="B60" s="19">
        <f>Stigninger!B60</f>
        <v>833.72</v>
      </c>
      <c r="C60" s="14">
        <f>ROUND(B60+Stigninger!C60,2)</f>
        <v>833.72</v>
      </c>
      <c r="D60" s="14">
        <f>ROUND(C60+Stigninger!D60,2)</f>
        <v>833.72</v>
      </c>
      <c r="E60" s="12">
        <f>ROUND(D60+Stigninger!E60,2)</f>
        <v>833.72</v>
      </c>
    </row>
    <row r="61" spans="1:5" x14ac:dyDescent="0.2">
      <c r="A61" s="107" t="str">
        <f>Stigninger!A61</f>
        <v>02. Efter 5 år</v>
      </c>
      <c r="B61" s="20">
        <f>Stigninger!B61</f>
        <v>921.91</v>
      </c>
      <c r="C61" s="99">
        <f>ROUND(B61+Stigninger!C61,2)</f>
        <v>921.91</v>
      </c>
      <c r="D61" s="99">
        <f>ROUND(C61+Stigninger!D61,2)</f>
        <v>921.91</v>
      </c>
      <c r="E61" s="12">
        <f>ROUND(D61+Stigninger!E61,2)</f>
        <v>921.91</v>
      </c>
    </row>
    <row r="62" spans="1:5" ht="15.75" x14ac:dyDescent="0.25">
      <c r="A62" s="109" t="str">
        <f>A25</f>
        <v>Geneløn ekskl. helligdagstillæg</v>
      </c>
      <c r="B62" s="19"/>
      <c r="C62" s="14"/>
      <c r="D62" s="9"/>
      <c r="E62" s="12"/>
    </row>
    <row r="63" spans="1:5" x14ac:dyDescent="0.2">
      <c r="A63" s="107" t="str">
        <f t="shared" ref="A63:A64" si="3">A26</f>
        <v>Gældende for hovedvagter</v>
      </c>
      <c r="B63" s="19"/>
      <c r="C63" s="14"/>
      <c r="D63" s="9"/>
      <c r="E63" s="12"/>
    </row>
    <row r="64" spans="1:5" ht="15.75" x14ac:dyDescent="0.25">
      <c r="A64" s="215" t="str">
        <f t="shared" si="3"/>
        <v>Regulering af genetillæg</v>
      </c>
      <c r="B64" s="19"/>
      <c r="C64" s="14"/>
      <c r="D64" s="9"/>
      <c r="E64" s="12"/>
    </row>
    <row r="65" spans="1:5" x14ac:dyDescent="0.2">
      <c r="A65" s="107" t="str">
        <f>Stigninger!A65</f>
        <v>01. Dagvagt</v>
      </c>
      <c r="B65" s="21">
        <f>Stigninger!B65</f>
        <v>0</v>
      </c>
      <c r="C65" s="14">
        <f t="shared" ref="C65:C75" si="4">B65+ROUND(B65*$C$27,2)</f>
        <v>0</v>
      </c>
      <c r="D65" s="14">
        <f t="shared" ref="D65:D75" si="5">C65+ROUND(C65*$D$27,2)</f>
        <v>0</v>
      </c>
      <c r="E65" s="14">
        <f t="shared" ref="E65:E75" si="6">D65+ROUND(D65*$E$27,2)</f>
        <v>0</v>
      </c>
    </row>
    <row r="66" spans="1:5" x14ac:dyDescent="0.2">
      <c r="A66" s="107" t="str">
        <f>Stigninger!A66</f>
        <v>02. 2-skiftet vagt</v>
      </c>
      <c r="B66" s="21">
        <f>Stigninger!B66</f>
        <v>1078.0899999999999</v>
      </c>
      <c r="C66" s="14">
        <f t="shared" si="4"/>
        <v>1095.3399999999999</v>
      </c>
      <c r="D66" s="14">
        <f t="shared" si="5"/>
        <v>1112.8699999999999</v>
      </c>
      <c r="E66" s="14">
        <f t="shared" si="6"/>
        <v>1130.6799999999998</v>
      </c>
    </row>
    <row r="67" spans="1:5" x14ac:dyDescent="0.2">
      <c r="A67" s="107" t="str">
        <f>Stigninger!A67</f>
        <v>03. 3+2+2-vagt</v>
      </c>
      <c r="B67" s="21">
        <f>Stigninger!B67</f>
        <v>2612.08</v>
      </c>
      <c r="C67" s="14">
        <f t="shared" si="4"/>
        <v>2653.87</v>
      </c>
      <c r="D67" s="14">
        <f t="shared" si="5"/>
        <v>2696.33</v>
      </c>
      <c r="E67" s="14">
        <f t="shared" si="6"/>
        <v>2739.47</v>
      </c>
    </row>
    <row r="68" spans="1:5" x14ac:dyDescent="0.2">
      <c r="A68" s="107" t="str">
        <f>Stigninger!A68</f>
        <v>04. Dag/aftenvagt</v>
      </c>
      <c r="B68" s="21">
        <f>Stigninger!B68</f>
        <v>2500.25</v>
      </c>
      <c r="C68" s="14">
        <f t="shared" si="4"/>
        <v>2540.25</v>
      </c>
      <c r="D68" s="14">
        <f t="shared" si="5"/>
        <v>2580.89</v>
      </c>
      <c r="E68" s="14">
        <f t="shared" si="6"/>
        <v>2622.18</v>
      </c>
    </row>
    <row r="69" spans="1:5" x14ac:dyDescent="0.2">
      <c r="A69" s="107" t="str">
        <f>Stigninger!A69</f>
        <v>05. DDAA-vagt</v>
      </c>
      <c r="B69" s="21">
        <f>Stigninger!B69</f>
        <v>2986.45</v>
      </c>
      <c r="C69" s="14">
        <f t="shared" si="4"/>
        <v>3034.23</v>
      </c>
      <c r="D69" s="14">
        <f t="shared" si="5"/>
        <v>3082.78</v>
      </c>
      <c r="E69" s="14">
        <f t="shared" si="6"/>
        <v>3132.1000000000004</v>
      </c>
    </row>
    <row r="70" spans="1:5" x14ac:dyDescent="0.2">
      <c r="A70" s="107" t="str">
        <f>Stigninger!A70</f>
        <v>06. DDN-vagt</v>
      </c>
      <c r="B70" s="21">
        <f>Stigninger!B70</f>
        <v>3612.32</v>
      </c>
      <c r="C70" s="14">
        <f t="shared" si="4"/>
        <v>3670.1200000000003</v>
      </c>
      <c r="D70" s="14">
        <f t="shared" si="5"/>
        <v>3728.84</v>
      </c>
      <c r="E70" s="14">
        <f t="shared" si="6"/>
        <v>3788.5</v>
      </c>
    </row>
    <row r="71" spans="1:5" x14ac:dyDescent="0.2">
      <c r="A71" s="107" t="str">
        <f>Stigninger!A71</f>
        <v>07. Døgnvagt</v>
      </c>
      <c r="B71" s="21">
        <f>Stigninger!B71</f>
        <v>3790.73</v>
      </c>
      <c r="C71" s="14">
        <f t="shared" si="4"/>
        <v>3851.38</v>
      </c>
      <c r="D71" s="14">
        <f t="shared" si="5"/>
        <v>3913</v>
      </c>
      <c r="E71" s="14">
        <f t="shared" si="6"/>
        <v>3975.61</v>
      </c>
    </row>
    <row r="72" spans="1:5" x14ac:dyDescent="0.2">
      <c r="A72" s="107" t="str">
        <f>Stigninger!A72</f>
        <v>08. 3-skiftet vagt</v>
      </c>
      <c r="B72" s="21">
        <f>Stigninger!B72</f>
        <v>3254.15</v>
      </c>
      <c r="C72" s="14">
        <f t="shared" si="4"/>
        <v>3306.2200000000003</v>
      </c>
      <c r="D72" s="14">
        <f t="shared" si="5"/>
        <v>3359.1200000000003</v>
      </c>
      <c r="E72" s="14">
        <f t="shared" si="6"/>
        <v>3412.8700000000003</v>
      </c>
    </row>
    <row r="73" spans="1:5" x14ac:dyDescent="0.2">
      <c r="A73" s="107" t="str">
        <f>Stigninger!A73</f>
        <v>09A. 3+2+2 med 3 A-vagter</v>
      </c>
      <c r="B73" s="21">
        <f>Stigninger!B73</f>
        <v>2345.42</v>
      </c>
      <c r="C73" s="14">
        <f t="shared" si="4"/>
        <v>2382.9500000000003</v>
      </c>
      <c r="D73" s="14">
        <f t="shared" si="5"/>
        <v>2421.0800000000004</v>
      </c>
      <c r="E73" s="14">
        <f t="shared" si="6"/>
        <v>2459.8200000000002</v>
      </c>
    </row>
    <row r="74" spans="1:5" x14ac:dyDescent="0.2">
      <c r="A74" s="107" t="str">
        <f>Stigninger!A74</f>
        <v>09B. 3+2+2 med 4 A-vagter</v>
      </c>
      <c r="B74" s="21">
        <f>Stigninger!B74</f>
        <v>2280.1799999999998</v>
      </c>
      <c r="C74" s="14">
        <f t="shared" si="4"/>
        <v>2316.66</v>
      </c>
      <c r="D74" s="14">
        <f t="shared" si="5"/>
        <v>2353.73</v>
      </c>
      <c r="E74" s="14">
        <f t="shared" si="6"/>
        <v>2391.39</v>
      </c>
    </row>
    <row r="75" spans="1:5" x14ac:dyDescent="0.2">
      <c r="A75" s="107" t="str">
        <f>Stigninger!A75</f>
        <v>13. Døgnvagt 92</v>
      </c>
      <c r="B75" s="21">
        <f>Stigninger!B75</f>
        <v>3928.67</v>
      </c>
      <c r="C75" s="14">
        <f t="shared" si="4"/>
        <v>3991.53</v>
      </c>
      <c r="D75" s="14">
        <f t="shared" si="5"/>
        <v>4055.3900000000003</v>
      </c>
      <c r="E75" s="14">
        <f t="shared" si="6"/>
        <v>4120.2800000000007</v>
      </c>
    </row>
    <row r="76" spans="1:5" ht="15.75" x14ac:dyDescent="0.25">
      <c r="A76" s="132" t="str">
        <f>Stigninger!A76</f>
        <v>Ferietillæg</v>
      </c>
      <c r="B76" s="130">
        <f>Stigninger!B76</f>
        <v>2.5000000000000001E-2</v>
      </c>
      <c r="C76" s="126">
        <f>B76+Stigninger!C76</f>
        <v>2.5000000000000001E-2</v>
      </c>
      <c r="D76" s="127">
        <f>C76+Stigninger!D76</f>
        <v>2.5000000000000001E-2</v>
      </c>
      <c r="E76" s="125">
        <f>D76+Stigninger!E76</f>
        <v>2.5000000000000001E-2</v>
      </c>
    </row>
    <row r="77" spans="1:5" ht="15.75" x14ac:dyDescent="0.25">
      <c r="A77" s="133" t="str">
        <f>Stigninger!A77</f>
        <v>Særlig opsparing, inkl. feriepenge</v>
      </c>
      <c r="B77" s="131">
        <f>Stigninger!B77</f>
        <v>0.04</v>
      </c>
      <c r="C77" s="128">
        <f>B77+Stigninger!C77</f>
        <v>0.05</v>
      </c>
      <c r="D77" s="81">
        <f>C77+Stigninger!D77</f>
        <v>6.0000000000000005E-2</v>
      </c>
      <c r="E77" s="129">
        <f>D77+Stigninger!E77</f>
        <v>7.0000000000000007E-2</v>
      </c>
    </row>
    <row r="78" spans="1:5" ht="15.75" x14ac:dyDescent="0.25">
      <c r="A78" s="179"/>
      <c r="B78" s="180"/>
      <c r="C78" s="22"/>
      <c r="D78" s="22"/>
      <c r="E78" s="22"/>
    </row>
    <row r="79" spans="1:5" ht="15.75" x14ac:dyDescent="0.25">
      <c r="A79" s="181"/>
      <c r="B79" s="182"/>
      <c r="C79" s="38"/>
      <c r="D79" s="38"/>
      <c r="E79" s="38"/>
    </row>
    <row r="80" spans="1:5" ht="15.75" x14ac:dyDescent="0.25">
      <c r="A80" s="334" t="str">
        <f>Stigninger!A78</f>
        <v>D. Liggende sygetransport</v>
      </c>
      <c r="B80" s="31" t="str">
        <f>Stigninger!$B$1</f>
        <v>Udgangs-</v>
      </c>
      <c r="C80" s="29" t="str">
        <f>Stigninger!$C$1</f>
        <v>1. marts</v>
      </c>
      <c r="D80" s="92" t="str">
        <f>Stigninger!$D$1</f>
        <v>1. marts</v>
      </c>
      <c r="E80" s="27" t="str">
        <f>Stigninger!$E$1</f>
        <v>1. marts</v>
      </c>
    </row>
    <row r="81" spans="1:5" ht="15.75" x14ac:dyDescent="0.25">
      <c r="A81" s="341"/>
      <c r="B81" s="32" t="str">
        <f>Stigninger!$B$2</f>
        <v>punkt</v>
      </c>
      <c r="C81" s="30">
        <f>Stigninger!$C$2</f>
        <v>2020</v>
      </c>
      <c r="D81" s="93">
        <f>Stigninger!$D$2</f>
        <v>2021</v>
      </c>
      <c r="E81" s="28">
        <f>Stigninger!$E$2</f>
        <v>2022</v>
      </c>
    </row>
    <row r="82" spans="1:5" ht="15.75" x14ac:dyDescent="0.25">
      <c r="A82" s="242" t="str">
        <f>Stigninger!A80</f>
        <v>Grundløn, pr. måned</v>
      </c>
      <c r="B82" s="34">
        <f>Stigninger!B80</f>
        <v>24737.07</v>
      </c>
      <c r="C82" s="13">
        <f>ROUND(B82+Stigninger!C80,2)</f>
        <v>25250.13</v>
      </c>
      <c r="D82" s="10">
        <f>ROUND(C82+Stigninger!D80,2)</f>
        <v>25763.19</v>
      </c>
      <c r="E82" s="11">
        <f>ROUND(D82+Stigninger!E80,2)</f>
        <v>26268.23</v>
      </c>
    </row>
    <row r="83" spans="1:5" ht="15.75" x14ac:dyDescent="0.25">
      <c r="A83" s="168" t="str">
        <f>Stigninger!A81</f>
        <v>Kvalifikationsløn</v>
      </c>
      <c r="B83" s="21">
        <f>Stigninger!B81</f>
        <v>680</v>
      </c>
      <c r="C83" s="14">
        <f>ROUND(B83+Stigninger!C81,2)</f>
        <v>680</v>
      </c>
      <c r="D83" s="9">
        <f>ROUND(C83+Stigninger!D81,2)</f>
        <v>680</v>
      </c>
      <c r="E83" s="12">
        <f>ROUND(D83+Stigninger!E81,2)</f>
        <v>680</v>
      </c>
    </row>
    <row r="84" spans="1:5" ht="15.75" x14ac:dyDescent="0.25">
      <c r="A84" s="168" t="str">
        <f>Stigninger!A82</f>
        <v>Reddertillæg</v>
      </c>
      <c r="B84" s="21">
        <f>Stigninger!B82</f>
        <v>792</v>
      </c>
      <c r="C84" s="14">
        <f>ROUND(B84+Stigninger!C82,2)</f>
        <v>792</v>
      </c>
      <c r="D84" s="9">
        <f>ROUND(C84+Stigninger!D82,2)</f>
        <v>792</v>
      </c>
      <c r="E84" s="12">
        <f>ROUND(D84+Stigninger!E82,2)</f>
        <v>792</v>
      </c>
    </row>
    <row r="85" spans="1:5" ht="15.75" x14ac:dyDescent="0.25">
      <c r="A85" s="168" t="str">
        <f>Stigninger!A83</f>
        <v>Særligt tillæg</v>
      </c>
      <c r="B85" s="21">
        <f>Stigninger!B83</f>
        <v>112</v>
      </c>
      <c r="C85" s="14">
        <f>ROUND(B85+Stigninger!C83,2)</f>
        <v>112</v>
      </c>
      <c r="D85" s="9">
        <f>ROUND(C85+Stigninger!D83,2)</f>
        <v>112</v>
      </c>
      <c r="E85" s="12">
        <f>ROUND(D85+Stigninger!E83,2)</f>
        <v>112</v>
      </c>
    </row>
    <row r="86" spans="1:5" ht="15.75" x14ac:dyDescent="0.25">
      <c r="A86" s="168" t="str">
        <f>Stigninger!A84</f>
        <v>Anciennitetstillæg</v>
      </c>
      <c r="B86" s="19"/>
      <c r="C86" s="17"/>
      <c r="D86" s="2"/>
      <c r="E86" s="5"/>
    </row>
    <row r="87" spans="1:5" x14ac:dyDescent="0.2">
      <c r="A87" s="107" t="str">
        <f>Stigninger!A85</f>
        <v>01. Efter 1 år</v>
      </c>
      <c r="B87" s="19">
        <f>Stigninger!B85</f>
        <v>753.56</v>
      </c>
      <c r="C87" s="14">
        <f>ROUND(B87+Stigninger!C85,2)</f>
        <v>753.56</v>
      </c>
      <c r="D87" s="9">
        <f>ROUND(C87+Stigninger!D85,2)</f>
        <v>753.56</v>
      </c>
      <c r="E87" s="12">
        <f>ROUND(D87+Stigninger!E85,2)</f>
        <v>753.56</v>
      </c>
    </row>
    <row r="88" spans="1:5" x14ac:dyDescent="0.2">
      <c r="A88" s="107" t="str">
        <f>Stigninger!A86</f>
        <v>02. Efter 3 år</v>
      </c>
      <c r="B88" s="19">
        <f>Stigninger!B86</f>
        <v>833.72</v>
      </c>
      <c r="C88" s="14">
        <f>ROUND(B88+Stigninger!C86,2)</f>
        <v>833.72</v>
      </c>
      <c r="D88" s="9">
        <f>ROUND(C88+Stigninger!D86,2)</f>
        <v>833.72</v>
      </c>
      <c r="E88" s="12">
        <f>ROUND(D88+Stigninger!E86,2)</f>
        <v>833.72</v>
      </c>
    </row>
    <row r="89" spans="1:5" x14ac:dyDescent="0.2">
      <c r="A89" s="107" t="str">
        <f>Stigninger!A87</f>
        <v>02. Efter 5 år</v>
      </c>
      <c r="B89" s="19">
        <f>Stigninger!B87</f>
        <v>921.91</v>
      </c>
      <c r="C89" s="14">
        <f>ROUND(B89+Stigninger!C87,2)</f>
        <v>921.91</v>
      </c>
      <c r="D89" s="9">
        <f>ROUND(C89+Stigninger!D87,2)</f>
        <v>921.91</v>
      </c>
      <c r="E89" s="12">
        <f>ROUND(D89+Stigninger!E87,2)</f>
        <v>921.91</v>
      </c>
    </row>
    <row r="90" spans="1:5" ht="15.75" x14ac:dyDescent="0.25">
      <c r="A90" s="109" t="str">
        <f>Stigninger!A88</f>
        <v>Ferietillæg</v>
      </c>
      <c r="B90" s="44">
        <f>Stigninger!B88</f>
        <v>0.01</v>
      </c>
      <c r="C90" s="126">
        <f>B90+Stigninger!C88</f>
        <v>0.01</v>
      </c>
      <c r="D90" s="127">
        <f>C90+Stigninger!D88</f>
        <v>0.01</v>
      </c>
      <c r="E90" s="125">
        <f>D90+Stigninger!E88</f>
        <v>0.01</v>
      </c>
    </row>
    <row r="91" spans="1:5" ht="15.75" x14ac:dyDescent="0.25">
      <c r="A91" s="117" t="str">
        <f>Stigninger!A89</f>
        <v>Særlig opsparing, inkl. feriepenge</v>
      </c>
      <c r="B91" s="45">
        <f>Stigninger!B89</f>
        <v>0.03</v>
      </c>
      <c r="C91" s="128">
        <f>B91+Stigninger!C89</f>
        <v>0.04</v>
      </c>
      <c r="D91" s="81">
        <f>C91+Stigninger!D89</f>
        <v>0.05</v>
      </c>
      <c r="E91" s="129">
        <f>D91+Stigninger!E89</f>
        <v>6.0000000000000005E-2</v>
      </c>
    </row>
    <row r="92" spans="1:5" ht="15.75" x14ac:dyDescent="0.25">
      <c r="A92" s="179"/>
      <c r="B92" s="180"/>
      <c r="C92" s="22"/>
      <c r="D92" s="22"/>
      <c r="E92" s="22"/>
    </row>
    <row r="93" spans="1:5" ht="15.75" x14ac:dyDescent="0.25">
      <c r="A93" s="181"/>
      <c r="B93" s="182"/>
      <c r="C93" s="38"/>
      <c r="D93" s="38"/>
      <c r="E93" s="38"/>
    </row>
    <row r="94" spans="1:5" ht="15.75" x14ac:dyDescent="0.25">
      <c r="A94" s="334" t="str">
        <f>Stigninger!A90</f>
        <v>E. PTR (persontransport)</v>
      </c>
      <c r="B94" s="31" t="str">
        <f>Stigninger!$B$1</f>
        <v>Udgangs-</v>
      </c>
      <c r="C94" s="29" t="str">
        <f>Stigninger!$C$1</f>
        <v>1. marts</v>
      </c>
      <c r="D94" s="92" t="str">
        <f>Stigninger!$D$1</f>
        <v>1. marts</v>
      </c>
      <c r="E94" s="27" t="str">
        <f>Stigninger!$E$1</f>
        <v>1. marts</v>
      </c>
    </row>
    <row r="95" spans="1:5" ht="15.75" x14ac:dyDescent="0.25">
      <c r="A95" s="341"/>
      <c r="B95" s="32" t="str">
        <f>Stigninger!$B$2</f>
        <v>punkt</v>
      </c>
      <c r="C95" s="30">
        <f>Stigninger!$C$2</f>
        <v>2020</v>
      </c>
      <c r="D95" s="93">
        <f>Stigninger!$D$2</f>
        <v>2021</v>
      </c>
      <c r="E95" s="28">
        <f>Stigninger!$E$2</f>
        <v>2022</v>
      </c>
    </row>
    <row r="96" spans="1:5" ht="15.75" x14ac:dyDescent="0.25">
      <c r="A96" s="139" t="str">
        <f>Stigninger!A92</f>
        <v>Grundløn, pr. måned</v>
      </c>
      <c r="B96" s="118">
        <v>23234.58</v>
      </c>
      <c r="C96" s="41">
        <f>ROUND(B96+Stigninger!C92,2)</f>
        <v>23747.64</v>
      </c>
      <c r="D96" s="42">
        <f>ROUND(C96+Stigninger!D92,2)</f>
        <v>24260.7</v>
      </c>
      <c r="E96" s="43">
        <f>ROUND(D96+Stigninger!E92,2)</f>
        <v>24765.74</v>
      </c>
    </row>
    <row r="97" spans="1:5" ht="15.75" x14ac:dyDescent="0.25">
      <c r="A97" s="116" t="str">
        <f>Stigninger!A93</f>
        <v>Kvalifikationsløn</v>
      </c>
      <c r="B97" s="21">
        <f>Stigninger!B93</f>
        <v>278.64</v>
      </c>
      <c r="C97" s="14">
        <f>ROUND(B97+Stigninger!C93,2)</f>
        <v>278.64</v>
      </c>
      <c r="D97" s="9">
        <f>ROUND(C97+Stigninger!D93,2)</f>
        <v>278.64</v>
      </c>
      <c r="E97" s="12">
        <f>ROUND(D97+Stigninger!E93,2)</f>
        <v>278.64</v>
      </c>
    </row>
    <row r="98" spans="1:5" ht="15.75" x14ac:dyDescent="0.25">
      <c r="A98" s="116" t="str">
        <f>Stigninger!A94</f>
        <v>Anciennitetstillæg</v>
      </c>
      <c r="B98" s="19"/>
      <c r="C98" s="17"/>
      <c r="D98" s="2"/>
      <c r="E98" s="5"/>
    </row>
    <row r="99" spans="1:5" x14ac:dyDescent="0.2">
      <c r="A99" s="72" t="str">
        <f>Stigninger!A95</f>
        <v>01. Efter 3 år</v>
      </c>
      <c r="B99" s="19">
        <f>Stigninger!B95</f>
        <v>250</v>
      </c>
      <c r="C99" s="14">
        <f>ROUND(B99+Stigninger!C95,2)</f>
        <v>250</v>
      </c>
      <c r="D99" s="9">
        <f>ROUND(C99+Stigninger!D95,2)</f>
        <v>250</v>
      </c>
      <c r="E99" s="12">
        <f>ROUND(D99+Stigninger!E95,2)</f>
        <v>250</v>
      </c>
    </row>
    <row r="100" spans="1:5" x14ac:dyDescent="0.2">
      <c r="A100" s="72" t="str">
        <f>Stigninger!A96</f>
        <v>02. Efter 5 år</v>
      </c>
      <c r="B100" s="19">
        <f>Stigninger!B96</f>
        <v>650</v>
      </c>
      <c r="C100" s="14">
        <f>ROUND(B100+Stigninger!C96,2)</f>
        <v>650</v>
      </c>
      <c r="D100" s="9">
        <f>ROUND(C100+Stigninger!D96,2)</f>
        <v>650</v>
      </c>
      <c r="E100" s="12">
        <f>ROUND(D100+Stigninger!E96,2)</f>
        <v>650</v>
      </c>
    </row>
    <row r="101" spans="1:5" ht="15.75" x14ac:dyDescent="0.25">
      <c r="A101" s="116" t="str">
        <f>Stigninger!A97</f>
        <v>Ferietillæg</v>
      </c>
      <c r="B101" s="44">
        <f>Stigninger!B97</f>
        <v>0.01</v>
      </c>
      <c r="C101" s="126">
        <f>B101+Stigninger!C97</f>
        <v>0.01</v>
      </c>
      <c r="D101" s="127">
        <f>C101+Stigninger!D97</f>
        <v>0.01</v>
      </c>
      <c r="E101" s="125">
        <f>D101+Stigninger!E97</f>
        <v>0.01</v>
      </c>
    </row>
    <row r="102" spans="1:5" ht="15.75" x14ac:dyDescent="0.25">
      <c r="A102" s="243" t="str">
        <f>Stigninger!A98</f>
        <v>Særlig opsparing, inkl. feriepenge</v>
      </c>
      <c r="B102" s="45">
        <f>Stigninger!B98</f>
        <v>0.02</v>
      </c>
      <c r="C102" s="128">
        <f>B102+Stigninger!C98</f>
        <v>0.03</v>
      </c>
      <c r="D102" s="81">
        <f>C102+Stigninger!D98</f>
        <v>0.04</v>
      </c>
      <c r="E102" s="129">
        <f>D102+Stigninger!E98</f>
        <v>0.05</v>
      </c>
    </row>
    <row r="103" spans="1:5" ht="15.75" x14ac:dyDescent="0.25">
      <c r="A103" s="179"/>
      <c r="B103" s="180"/>
      <c r="C103" s="22"/>
      <c r="D103" s="22"/>
      <c r="E103" s="22"/>
    </row>
    <row r="104" spans="1:5" ht="15.75" x14ac:dyDescent="0.25">
      <c r="A104" s="181"/>
      <c r="B104" s="182"/>
      <c r="C104" s="38"/>
      <c r="D104" s="38"/>
      <c r="E104" s="38"/>
    </row>
    <row r="105" spans="1:5" ht="15.75" x14ac:dyDescent="0.25">
      <c r="A105" s="347" t="str">
        <f>Stigninger!A99</f>
        <v>F1. Assistance - Vej-/Skadeservice</v>
      </c>
      <c r="B105" s="31" t="str">
        <f>Stigninger!$B$1</f>
        <v>Udgangs-</v>
      </c>
      <c r="C105" s="29" t="str">
        <f>Stigninger!$C$1</f>
        <v>1. marts</v>
      </c>
      <c r="D105" s="92" t="str">
        <f>Stigninger!$D$1</f>
        <v>1. marts</v>
      </c>
      <c r="E105" s="27" t="str">
        <f>Stigninger!$E$1</f>
        <v>1. marts</v>
      </c>
    </row>
    <row r="106" spans="1:5" ht="15.75" x14ac:dyDescent="0.25">
      <c r="A106" s="337"/>
      <c r="B106" s="32" t="str">
        <f>Stigninger!$B$2</f>
        <v>punkt</v>
      </c>
      <c r="C106" s="30">
        <f>Stigninger!$C$2</f>
        <v>2020</v>
      </c>
      <c r="D106" s="93">
        <f>Stigninger!$D$2</f>
        <v>2021</v>
      </c>
      <c r="E106" s="28">
        <f>Stigninger!$E$2</f>
        <v>2022</v>
      </c>
    </row>
    <row r="107" spans="1:5" ht="15.75" x14ac:dyDescent="0.25">
      <c r="A107" s="242" t="str">
        <f>Stigninger!A101</f>
        <v>Grundløn, pr. måned</v>
      </c>
      <c r="B107" s="34">
        <f>Stigninger!B101</f>
        <v>24737.07</v>
      </c>
      <c r="C107" s="13">
        <f>ROUND(B107+Stigninger!C101,2)</f>
        <v>25250.13</v>
      </c>
      <c r="D107" s="10">
        <f>ROUND(C107+Stigninger!D101,2)</f>
        <v>25763.19</v>
      </c>
      <c r="E107" s="11">
        <f>ROUND(D107+Stigninger!E101,2)</f>
        <v>26268.23</v>
      </c>
    </row>
    <row r="108" spans="1:5" ht="15.75" x14ac:dyDescent="0.25">
      <c r="A108" s="168" t="str">
        <f>Stigninger!A102</f>
        <v>Kvalifikationsløn</v>
      </c>
      <c r="B108" s="21">
        <f>Stigninger!B102</f>
        <v>792.74</v>
      </c>
      <c r="C108" s="14">
        <f>ROUND(B108+Stigninger!C102,2)</f>
        <v>792.74</v>
      </c>
      <c r="D108" s="9">
        <f>ROUND(C108+Stigninger!D102,2)</f>
        <v>792.74</v>
      </c>
      <c r="E108" s="12">
        <f>ROUND(D108+Stigninger!E102,2)</f>
        <v>792.74</v>
      </c>
    </row>
    <row r="109" spans="1:5" ht="15.75" x14ac:dyDescent="0.25">
      <c r="A109" s="338" t="str">
        <f>Stigninger!A103</f>
        <v>For ansættelse før 1. november 2015:</v>
      </c>
      <c r="B109" s="339"/>
      <c r="C109" s="339"/>
      <c r="D109" s="339"/>
      <c r="E109" s="340"/>
    </row>
    <row r="110" spans="1:5" ht="15.75" x14ac:dyDescent="0.25">
      <c r="A110" s="109" t="str">
        <f>Stigninger!A104</f>
        <v>Reddertillæg</v>
      </c>
      <c r="B110" s="21">
        <f>Stigninger!B104</f>
        <v>792</v>
      </c>
      <c r="C110" s="14">
        <f>ROUND(B110+Stigninger!C104,2)</f>
        <v>792</v>
      </c>
      <c r="D110" s="9">
        <f>ROUND(C110+Stigninger!D104,2)</f>
        <v>792</v>
      </c>
      <c r="E110" s="12">
        <f>ROUND(D110+Stigninger!E104,2)</f>
        <v>792</v>
      </c>
    </row>
    <row r="111" spans="1:5" ht="15.75" x14ac:dyDescent="0.25">
      <c r="A111" s="215" t="str">
        <f>Stigninger!A105</f>
        <v>Særligt tillæg</v>
      </c>
      <c r="B111" s="21">
        <f>Stigninger!B105</f>
        <v>112</v>
      </c>
      <c r="C111" s="14">
        <f>ROUND(B111+Stigninger!C105,2)</f>
        <v>112</v>
      </c>
      <c r="D111" s="9">
        <f>ROUND(C111+Stigninger!D105,2)</f>
        <v>112</v>
      </c>
      <c r="E111" s="12">
        <f>ROUND(D111+Stigninger!E105,2)</f>
        <v>112</v>
      </c>
    </row>
    <row r="112" spans="1:5" ht="15.75" x14ac:dyDescent="0.25">
      <c r="A112" s="215" t="str">
        <f>Stigninger!A106</f>
        <v>Anciennitetstillæg</v>
      </c>
      <c r="B112" s="19"/>
      <c r="C112" s="17"/>
      <c r="D112" s="2"/>
      <c r="E112" s="5"/>
    </row>
    <row r="113" spans="1:5" x14ac:dyDescent="0.2">
      <c r="A113" s="107" t="str">
        <f>Stigninger!A107</f>
        <v>01. Efter 1 år</v>
      </c>
      <c r="B113" s="19">
        <f>Stigninger!B107</f>
        <v>753.56</v>
      </c>
      <c r="C113" s="14">
        <f>ROUND(B113+Stigninger!C122,2)</f>
        <v>753.56</v>
      </c>
      <c r="D113" s="14">
        <f>ROUND(C113+Stigninger!D122,2)</f>
        <v>753.56</v>
      </c>
      <c r="E113" s="12">
        <f>ROUND(D113+Stigninger!E122,2)</f>
        <v>753.56</v>
      </c>
    </row>
    <row r="114" spans="1:5" x14ac:dyDescent="0.2">
      <c r="A114" s="107" t="str">
        <f>Stigninger!A108</f>
        <v>02. Efter 3 år</v>
      </c>
      <c r="B114" s="19">
        <f>Stigninger!B108</f>
        <v>833.72</v>
      </c>
      <c r="C114" s="14">
        <f>ROUND(B114+Stigninger!C123,2)</f>
        <v>833.72</v>
      </c>
      <c r="D114" s="14">
        <f>ROUND(C114+Stigninger!D123,2)</f>
        <v>833.72</v>
      </c>
      <c r="E114" s="12">
        <f>ROUND(D114+Stigninger!E123,2)</f>
        <v>833.72</v>
      </c>
    </row>
    <row r="115" spans="1:5" x14ac:dyDescent="0.2">
      <c r="A115" s="107" t="str">
        <f>Stigninger!A109</f>
        <v>02. Efter 5 år</v>
      </c>
      <c r="B115" s="19">
        <f>Stigninger!B109</f>
        <v>921.91</v>
      </c>
      <c r="C115" s="99">
        <f>ROUND(B115+Stigninger!C124,2)</f>
        <v>921.91</v>
      </c>
      <c r="D115" s="99">
        <f>ROUND(C115+Stigninger!D124,2)</f>
        <v>921.91</v>
      </c>
      <c r="E115" s="12">
        <f>ROUND(D115+Stigninger!E124,2)</f>
        <v>921.91</v>
      </c>
    </row>
    <row r="116" spans="1:5" ht="15.75" x14ac:dyDescent="0.25">
      <c r="A116" s="215" t="str">
        <f>Stigninger!A110</f>
        <v>Ferietillæg</v>
      </c>
      <c r="B116" s="44">
        <f>Stigninger!B110</f>
        <v>0.01</v>
      </c>
      <c r="C116" s="126">
        <f>B116+Stigninger!C110</f>
        <v>0.01</v>
      </c>
      <c r="D116" s="127">
        <f>C116+Stigninger!D110</f>
        <v>0.01</v>
      </c>
      <c r="E116" s="125">
        <f>D116+Stigninger!E110</f>
        <v>0.01</v>
      </c>
    </row>
    <row r="117" spans="1:5" ht="15.75" x14ac:dyDescent="0.25">
      <c r="A117" s="215" t="str">
        <f>Stigninger!A111</f>
        <v>Særlig opsparing, inkl. feriepenge</v>
      </c>
      <c r="B117" s="45">
        <f>Stigninger!B111</f>
        <v>0.03</v>
      </c>
      <c r="C117" s="128">
        <f>B117+Stigninger!C111</f>
        <v>0.04</v>
      </c>
      <c r="D117" s="81">
        <f>C117+Stigninger!D111</f>
        <v>0.05</v>
      </c>
      <c r="E117" s="129">
        <f>D117+Stigninger!E111</f>
        <v>6.0000000000000005E-2</v>
      </c>
    </row>
    <row r="118" spans="1:5" ht="15.75" x14ac:dyDescent="0.25">
      <c r="A118" s="179"/>
      <c r="B118" s="180"/>
      <c r="C118" s="22"/>
      <c r="D118" s="22"/>
      <c r="E118" s="22"/>
    </row>
    <row r="119" spans="1:5" ht="15.75" x14ac:dyDescent="0.25">
      <c r="A119" s="181"/>
      <c r="B119" s="182"/>
      <c r="C119" s="38"/>
      <c r="D119" s="38"/>
      <c r="E119" s="38"/>
    </row>
    <row r="120" spans="1:5" ht="15.75" x14ac:dyDescent="0.25">
      <c r="A120" s="183" t="str">
        <f>Stigninger!A112</f>
        <v>F2. Assistance - Montør/lager</v>
      </c>
      <c r="B120" s="31" t="str">
        <f>Stigninger!$B$1</f>
        <v>Udgangs-</v>
      </c>
      <c r="C120" s="29" t="str">
        <f>Stigninger!$C$1</f>
        <v>1. marts</v>
      </c>
      <c r="D120" s="92" t="str">
        <f>Stigninger!$D$1</f>
        <v>1. marts</v>
      </c>
      <c r="E120" s="27" t="str">
        <f>Stigninger!$E$1</f>
        <v>1. marts</v>
      </c>
    </row>
    <row r="121" spans="1:5" ht="15.75" x14ac:dyDescent="0.25">
      <c r="A121" s="231" t="str">
        <f>Stigninger!A113</f>
        <v>Ansat før 1. oktober 2017 ved Falck Teknik</v>
      </c>
      <c r="B121" s="32" t="str">
        <f>Stigninger!$B$2</f>
        <v>punkt</v>
      </c>
      <c r="C121" s="30">
        <f>Stigninger!$C$2</f>
        <v>2020</v>
      </c>
      <c r="D121" s="93">
        <f>Stigninger!$D$2</f>
        <v>2021</v>
      </c>
      <c r="E121" s="28">
        <f>Stigninger!$E$2</f>
        <v>2022</v>
      </c>
    </row>
    <row r="122" spans="1:5" ht="15.75" x14ac:dyDescent="0.25">
      <c r="A122" s="108" t="str">
        <f>Stigninger!A114</f>
        <v>Grundløn, pr. måned</v>
      </c>
      <c r="B122" s="34">
        <f>Stigninger!B114</f>
        <v>25980.69</v>
      </c>
      <c r="C122" s="13">
        <f>ROUND(B122+Stigninger!C114,2)</f>
        <v>26493.75</v>
      </c>
      <c r="D122" s="10">
        <f>ROUND(C122+Stigninger!D114,2)</f>
        <v>27006.81</v>
      </c>
      <c r="E122" s="11">
        <f>ROUND(D122+Stigninger!E114,2)</f>
        <v>27511.85</v>
      </c>
    </row>
    <row r="123" spans="1:5" ht="15.75" x14ac:dyDescent="0.25">
      <c r="A123" s="109" t="str">
        <f>Stigninger!A115</f>
        <v>Kvalifikationsløn</v>
      </c>
      <c r="B123" s="21">
        <f>Stigninger!B115</f>
        <v>792.74</v>
      </c>
      <c r="C123" s="14">
        <f>ROUND(B123+Stigninger!C115,2)</f>
        <v>792.74</v>
      </c>
      <c r="D123" s="9">
        <f>ROUND(C123+Stigninger!D115,2)</f>
        <v>792.74</v>
      </c>
      <c r="E123" s="12">
        <f>ROUND(D123+Stigninger!E115,2)</f>
        <v>792.74</v>
      </c>
    </row>
    <row r="124" spans="1:5" ht="15.75" x14ac:dyDescent="0.25">
      <c r="A124" s="215" t="str">
        <f>Stigninger!A116</f>
        <v>Anciennitetstillæg</v>
      </c>
      <c r="B124" s="21"/>
      <c r="C124" s="14"/>
      <c r="D124" s="9"/>
      <c r="E124" s="12"/>
    </row>
    <row r="125" spans="1:5" x14ac:dyDescent="0.2">
      <c r="A125" s="107" t="str">
        <f>Stigninger!A117</f>
        <v>01. Efter 1 år</v>
      </c>
      <c r="B125" s="21">
        <f>Stigninger!B117</f>
        <v>930.61</v>
      </c>
      <c r="C125" s="14">
        <f>ROUND(B125+Stigninger!C117,2)</f>
        <v>930.61</v>
      </c>
      <c r="D125" s="9">
        <f>ROUND(C125+Stigninger!D117,2)</f>
        <v>930.61</v>
      </c>
      <c r="E125" s="12">
        <f>ROUND(D125+Stigninger!E117,2)</f>
        <v>930.61</v>
      </c>
    </row>
    <row r="126" spans="1:5" x14ac:dyDescent="0.2">
      <c r="A126" s="107" t="str">
        <f>Stigninger!A118</f>
        <v>02. Efter 3 år</v>
      </c>
      <c r="B126" s="21">
        <f>Stigninger!B118</f>
        <v>980.61</v>
      </c>
      <c r="C126" s="14">
        <f>ROUND(B126+Stigninger!C118,2)</f>
        <v>980.61</v>
      </c>
      <c r="D126" s="9">
        <f>ROUND(C126+Stigninger!D118,2)</f>
        <v>980.61</v>
      </c>
      <c r="E126" s="12">
        <f>ROUND(D126+Stigninger!E118,2)</f>
        <v>980.61</v>
      </c>
    </row>
    <row r="127" spans="1:5" x14ac:dyDescent="0.2">
      <c r="A127" s="107" t="str">
        <f>Stigninger!A119</f>
        <v>02. Efter 5 år</v>
      </c>
      <c r="B127" s="21">
        <f>Stigninger!B119</f>
        <v>1080.6099999999999</v>
      </c>
      <c r="C127" s="14">
        <f>ROUND(B127+Stigninger!C119,2)</f>
        <v>1080.6099999999999</v>
      </c>
      <c r="D127" s="9">
        <f>ROUND(C127+Stigninger!D119,2)</f>
        <v>1080.6099999999999</v>
      </c>
      <c r="E127" s="12">
        <f>ROUND(D127+Stigninger!E119,2)</f>
        <v>1080.6099999999999</v>
      </c>
    </row>
    <row r="128" spans="1:5" x14ac:dyDescent="0.2">
      <c r="A128" s="107" t="str">
        <f>Stigninger!A120</f>
        <v>03. Efter 7 år</v>
      </c>
      <c r="B128" s="21">
        <f>Stigninger!B120</f>
        <v>1135.6099999999999</v>
      </c>
      <c r="C128" s="14">
        <f>ROUND(B128+Stigninger!C120,2)</f>
        <v>1135.6099999999999</v>
      </c>
      <c r="D128" s="9">
        <f>ROUND(C128+Stigninger!D120,2)</f>
        <v>1135.6099999999999</v>
      </c>
      <c r="E128" s="12">
        <f>ROUND(D128+Stigninger!E120,2)</f>
        <v>1135.6099999999999</v>
      </c>
    </row>
    <row r="129" spans="1:5" x14ac:dyDescent="0.2">
      <c r="A129" s="107" t="str">
        <f>Stigninger!A121</f>
        <v>04. Efter 9 år</v>
      </c>
      <c r="B129" s="21">
        <f>Stigninger!B121</f>
        <v>1190.6099999999999</v>
      </c>
      <c r="C129" s="14">
        <f>ROUND(B129+Stigninger!C121,2)</f>
        <v>1190.6099999999999</v>
      </c>
      <c r="D129" s="9">
        <f>ROUND(C129+Stigninger!D121,2)</f>
        <v>1190.6099999999999</v>
      </c>
      <c r="E129" s="12">
        <f>ROUND(D129+Stigninger!E121,2)</f>
        <v>1190.6099999999999</v>
      </c>
    </row>
    <row r="130" spans="1:5" x14ac:dyDescent="0.2">
      <c r="A130" s="107" t="str">
        <f>Stigninger!A122</f>
        <v>05. Efter 11 år</v>
      </c>
      <c r="B130" s="21">
        <f>Stigninger!B122</f>
        <v>1250.6099999999999</v>
      </c>
      <c r="C130" s="14">
        <f>ROUND(B130+Stigninger!C122,2)</f>
        <v>1250.6099999999999</v>
      </c>
      <c r="D130" s="9">
        <f>ROUND(C130+Stigninger!D122,2)</f>
        <v>1250.6099999999999</v>
      </c>
      <c r="E130" s="12">
        <f>ROUND(D130+Stigninger!E122,2)</f>
        <v>1250.6099999999999</v>
      </c>
    </row>
    <row r="131" spans="1:5" x14ac:dyDescent="0.2">
      <c r="A131" s="107" t="str">
        <f>Stigninger!A123</f>
        <v>06. Efter 13 år</v>
      </c>
      <c r="B131" s="21">
        <f>Stigninger!B123</f>
        <v>1300.6099999999999</v>
      </c>
      <c r="C131" s="14">
        <f>ROUND(B131+Stigninger!C123,2)</f>
        <v>1300.6099999999999</v>
      </c>
      <c r="D131" s="9">
        <f>ROUND(C131+Stigninger!D123,2)</f>
        <v>1300.6099999999999</v>
      </c>
      <c r="E131" s="12">
        <f>ROUND(D131+Stigninger!E123,2)</f>
        <v>1300.6099999999999</v>
      </c>
    </row>
    <row r="132" spans="1:5" ht="15.75" x14ac:dyDescent="0.25">
      <c r="A132" s="109" t="str">
        <f>Stigninger!A124</f>
        <v>Ferietillæg</v>
      </c>
      <c r="B132" s="44">
        <f>Stigninger!B124</f>
        <v>0.02</v>
      </c>
      <c r="C132" s="126">
        <f>B132+Stigninger!C124</f>
        <v>0.02</v>
      </c>
      <c r="D132" s="127">
        <f>C132+Stigninger!D124</f>
        <v>0.02</v>
      </c>
      <c r="E132" s="125">
        <f>D132+Stigninger!E124</f>
        <v>0.02</v>
      </c>
    </row>
    <row r="133" spans="1:5" ht="15.75" x14ac:dyDescent="0.25">
      <c r="A133" s="117" t="str">
        <f>Stigninger!A125</f>
        <v>Særlig opsparing, inkl. feriepenge</v>
      </c>
      <c r="B133" s="45">
        <f>Stigninger!B125</f>
        <v>0.04</v>
      </c>
      <c r="C133" s="128">
        <f>B133+Stigninger!C125</f>
        <v>0.05</v>
      </c>
      <c r="D133" s="81">
        <f>C133+Stigninger!D125</f>
        <v>6.0000000000000005E-2</v>
      </c>
      <c r="E133" s="129">
        <f>D133+Stigninger!E125</f>
        <v>7.0000000000000007E-2</v>
      </c>
    </row>
    <row r="134" spans="1:5" ht="15.75" x14ac:dyDescent="0.25">
      <c r="A134" s="179"/>
      <c r="B134" s="180"/>
      <c r="C134" s="22"/>
      <c r="D134" s="22"/>
      <c r="E134" s="22"/>
    </row>
    <row r="135" spans="1:5" ht="15.75" x14ac:dyDescent="0.25">
      <c r="A135" s="181"/>
      <c r="B135" s="182"/>
      <c r="C135" s="38"/>
      <c r="D135" s="38"/>
      <c r="E135" s="38"/>
    </row>
    <row r="136" spans="1:5" ht="15.75" x14ac:dyDescent="0.25">
      <c r="A136" s="334" t="str">
        <f>Stigninger!A126</f>
        <v>Generellle satser</v>
      </c>
      <c r="B136" s="31" t="str">
        <f>Stigninger!$B$1</f>
        <v>Udgangs-</v>
      </c>
      <c r="C136" s="29" t="str">
        <f>Stigninger!$C$1</f>
        <v>1. marts</v>
      </c>
      <c r="D136" s="92" t="str">
        <f>Stigninger!$D$1</f>
        <v>1. marts</v>
      </c>
      <c r="E136" s="27" t="str">
        <f>Stigninger!$E$1</f>
        <v>1. marts</v>
      </c>
    </row>
    <row r="137" spans="1:5" ht="15.75" x14ac:dyDescent="0.25">
      <c r="A137" s="341"/>
      <c r="B137" s="32" t="str">
        <f>Stigninger!$B$2</f>
        <v>punkt</v>
      </c>
      <c r="C137" s="30">
        <f>Stigninger!$C$2</f>
        <v>2020</v>
      </c>
      <c r="D137" s="93">
        <f>Stigninger!$D$2</f>
        <v>2021</v>
      </c>
      <c r="E137" s="28">
        <f>Stigninger!$E$2</f>
        <v>2022</v>
      </c>
    </row>
    <row r="138" spans="1:5" ht="15.75" x14ac:dyDescent="0.25">
      <c r="A138" s="119" t="str">
        <f>Stigninger!A128</f>
        <v>Øvrige særlige tillæg</v>
      </c>
      <c r="B138" s="18"/>
      <c r="C138" s="16"/>
      <c r="D138" s="120"/>
      <c r="E138" s="95"/>
    </row>
    <row r="139" spans="1:5" ht="30" x14ac:dyDescent="0.2">
      <c r="A139" s="107" t="str">
        <f>Stigninger!A129</f>
        <v>Minuttillæg til døgnvagter med minutter og områdereddere på fast døgnvagt</v>
      </c>
      <c r="B139" s="19">
        <f>Stigninger!B129</f>
        <v>233.49</v>
      </c>
      <c r="C139" s="14">
        <f>ROUND(B139+Stigninger!C129,2)</f>
        <v>233.49</v>
      </c>
      <c r="D139" s="9">
        <f>ROUND(C139+Stigninger!D129,2)</f>
        <v>233.49</v>
      </c>
      <c r="E139" s="12">
        <f>ROUND(D139+Stigninger!E129,2)</f>
        <v>233.49</v>
      </c>
    </row>
    <row r="140" spans="1:5" ht="45" x14ac:dyDescent="0.2">
      <c r="A140" s="107" t="str">
        <f>Stigninger!A130</f>
        <v>Minuttillæg pr. præsteret døgnvagt til ordinære områdereddere og stationsafløsere på døgnvagt</v>
      </c>
      <c r="B140" s="19">
        <f>Stigninger!B130</f>
        <v>27.2</v>
      </c>
      <c r="C140" s="14">
        <f>ROUND(B140+Stigninger!C130,2)</f>
        <v>27.2</v>
      </c>
      <c r="D140" s="9">
        <f>ROUND(C140+Stigninger!D130,2)</f>
        <v>27.2</v>
      </c>
      <c r="E140" s="12">
        <f>ROUND(D140+Stigninger!E130,2)</f>
        <v>27.2</v>
      </c>
    </row>
    <row r="141" spans="1:5" ht="45" x14ac:dyDescent="0.2">
      <c r="A141" s="107" t="str">
        <f>Stigninger!A131</f>
        <v>Døgnvagtstillæg pr. præsteret døgnvagt til ordinære områdereddere og stationsafløsere på døgnvagt</v>
      </c>
      <c r="B141" s="19">
        <f>Stigninger!B131</f>
        <v>3.91</v>
      </c>
      <c r="C141" s="14">
        <f>ROUND(B141+Stigninger!C131,2)</f>
        <v>3.91</v>
      </c>
      <c r="D141" s="9">
        <f>ROUND(C141+Stigninger!D131,2)</f>
        <v>3.91</v>
      </c>
      <c r="E141" s="12">
        <f>ROUND(D141+Stigninger!E131,2)</f>
        <v>3.91</v>
      </c>
    </row>
    <row r="142" spans="1:5" x14ac:dyDescent="0.2">
      <c r="A142" s="78" t="str">
        <f>Stigninger!A132</f>
        <v>Forskydningstillæg</v>
      </c>
      <c r="B142" s="19">
        <f>Stigninger!B132</f>
        <v>7.72</v>
      </c>
      <c r="C142" s="14">
        <f>ROUND(B142+Stigninger!C132,2)</f>
        <v>7.72</v>
      </c>
      <c r="D142" s="9">
        <f>ROUND(C142+Stigninger!D132,2)</f>
        <v>7.72</v>
      </c>
      <c r="E142" s="12">
        <f>ROUND(D142+Stigninger!E132,2)</f>
        <v>7.72</v>
      </c>
    </row>
    <row r="143" spans="1:5" ht="30" x14ac:dyDescent="0.2">
      <c r="A143" s="110" t="str">
        <f>Stigninger!A133</f>
        <v>Områdereddertillæg til ordinære områdereddere og stationsafløsere</v>
      </c>
      <c r="B143" s="73">
        <f>Stigninger!B133</f>
        <v>1100</v>
      </c>
      <c r="C143" s="99">
        <f>ROUND(B143+Stigninger!C133,2)</f>
        <v>1100</v>
      </c>
      <c r="D143" s="100">
        <f>ROUND(C143+Stigninger!D133,2)</f>
        <v>1100</v>
      </c>
      <c r="E143" s="106">
        <f>ROUND(D143+Stigninger!E133,2)</f>
        <v>1100</v>
      </c>
    </row>
    <row r="144" spans="1:5" ht="15.75" x14ac:dyDescent="0.25">
      <c r="A144" s="109" t="str">
        <f>Stigninger!A134</f>
        <v>Genetillæg pr. time</v>
      </c>
      <c r="B144" s="19"/>
      <c r="C144" s="112"/>
      <c r="D144" s="113"/>
      <c r="E144" s="114"/>
    </row>
    <row r="145" spans="1:5" ht="15.75" x14ac:dyDescent="0.25">
      <c r="A145" s="215" t="str">
        <f>Stigninger!A135</f>
        <v>Hverdage</v>
      </c>
      <c r="B145" s="19"/>
      <c r="C145" s="17"/>
      <c r="D145" s="2"/>
      <c r="E145" s="5"/>
    </row>
    <row r="146" spans="1:5" x14ac:dyDescent="0.2">
      <c r="A146" s="107" t="str">
        <f>Stigninger!A136</f>
        <v>Dag – kl. 07.00 til kl. 18.00</v>
      </c>
      <c r="B146" s="19">
        <f>Stigninger!B136</f>
        <v>0</v>
      </c>
      <c r="C146" s="14">
        <f>ROUND(B146+Stigninger!C136,2)</f>
        <v>0</v>
      </c>
      <c r="D146" s="9">
        <f>ROUND(C146+Stigninger!D136,2)</f>
        <v>0</v>
      </c>
      <c r="E146" s="12">
        <f>ROUND(D146+Stigninger!E136,2)</f>
        <v>0</v>
      </c>
    </row>
    <row r="147" spans="1:5" x14ac:dyDescent="0.2">
      <c r="A147" s="107" t="str">
        <f>Stigninger!A137</f>
        <v>Aften – kl. 18.00 til kl. 24.00</v>
      </c>
      <c r="B147" s="19">
        <f>Stigninger!B137</f>
        <v>20.74</v>
      </c>
      <c r="C147" s="14">
        <f>ROUND(B147+Stigninger!C137,2)</f>
        <v>21.07</v>
      </c>
      <c r="D147" s="9">
        <f>ROUND(C147+Stigninger!D137,2)</f>
        <v>21.41</v>
      </c>
      <c r="E147" s="12">
        <f>ROUND(D147+Stigninger!E137,2)</f>
        <v>21.75</v>
      </c>
    </row>
    <row r="148" spans="1:5" x14ac:dyDescent="0.2">
      <c r="A148" s="107" t="str">
        <f>Stigninger!A138</f>
        <v>Nat – kl. 24.00 til kl. 07.00</v>
      </c>
      <c r="B148" s="19">
        <f>Stigninger!B138</f>
        <v>38</v>
      </c>
      <c r="C148" s="14">
        <f>ROUND(B148+Stigninger!C138,2)</f>
        <v>38.61</v>
      </c>
      <c r="D148" s="9">
        <f>ROUND(C148+Stigninger!D138,2)</f>
        <v>39.229999999999997</v>
      </c>
      <c r="E148" s="12">
        <f>ROUND(D148+Stigninger!E138,2)</f>
        <v>39.86</v>
      </c>
    </row>
    <row r="149" spans="1:5" ht="15.75" x14ac:dyDescent="0.25">
      <c r="A149" s="215" t="str">
        <f>Stigninger!A139</f>
        <v>Weekend</v>
      </c>
      <c r="B149" s="19"/>
      <c r="C149" s="17"/>
      <c r="D149" s="2"/>
      <c r="E149" s="5"/>
    </row>
    <row r="150" spans="1:5" x14ac:dyDescent="0.2">
      <c r="A150" s="107" t="str">
        <f>Stigninger!A140</f>
        <v>Lørdag kl. 07.00 til mandag kl. 07.00</v>
      </c>
      <c r="B150" s="19">
        <f>Stigninger!B140</f>
        <v>55.26</v>
      </c>
      <c r="C150" s="14">
        <f>ROUND(B150+Stigninger!C140,2)</f>
        <v>56.14</v>
      </c>
      <c r="D150" s="9">
        <f>ROUND(C150+Stigninger!D140,2)</f>
        <v>57.04</v>
      </c>
      <c r="E150" s="12">
        <f>ROUND(D150+Stigninger!E140,2)</f>
        <v>57.95</v>
      </c>
    </row>
    <row r="151" spans="1:5" x14ac:dyDescent="0.2">
      <c r="A151" s="107" t="str">
        <f>Stigninger!A141</f>
        <v>Skæve helligdage og øvrige helligdage</v>
      </c>
      <c r="B151" s="19">
        <f>Stigninger!B141</f>
        <v>47.56</v>
      </c>
      <c r="C151" s="14">
        <f>ROUND(B151+Stigninger!C141,2)</f>
        <v>48.32</v>
      </c>
      <c r="D151" s="9">
        <f>ROUND(C151+Stigninger!D141,2)</f>
        <v>49.09</v>
      </c>
      <c r="E151" s="12">
        <f>ROUND(D151+Stigninger!E141,2)</f>
        <v>49.88</v>
      </c>
    </row>
    <row r="152" spans="1:5" ht="15.75" x14ac:dyDescent="0.25">
      <c r="A152" s="215" t="str">
        <f>Stigninger!A142</f>
        <v>Pension</v>
      </c>
      <c r="B152" s="157"/>
      <c r="C152" s="158"/>
      <c r="D152" s="159"/>
      <c r="E152" s="160"/>
    </row>
    <row r="153" spans="1:5" x14ac:dyDescent="0.2">
      <c r="A153" s="107" t="str">
        <f>Stigninger!A143</f>
        <v>Arbejdsgivers bidrag</v>
      </c>
      <c r="B153" s="161">
        <f>Stigninger!B143</f>
        <v>0.08</v>
      </c>
      <c r="C153" s="112">
        <f>B153+Stigninger!C143</f>
        <v>0.08</v>
      </c>
      <c r="D153" s="162">
        <f>C153+Stigninger!D143</f>
        <v>0.08</v>
      </c>
      <c r="E153" s="114">
        <f>D153+Stigninger!E143</f>
        <v>0.08</v>
      </c>
    </row>
    <row r="154" spans="1:5" x14ac:dyDescent="0.2">
      <c r="A154" s="107" t="str">
        <f>Stigninger!A144</f>
        <v>Lønmodtagers bidrag</v>
      </c>
      <c r="B154" s="39">
        <f>Stigninger!B144</f>
        <v>0.04</v>
      </c>
      <c r="C154" s="154">
        <f>B154+Stigninger!C144</f>
        <v>0.04</v>
      </c>
      <c r="D154" s="163">
        <f>C154+Stigninger!D144</f>
        <v>0.04</v>
      </c>
      <c r="E154" s="150">
        <f>D154+Stigninger!E144</f>
        <v>0.04</v>
      </c>
    </row>
    <row r="155" spans="1:5" ht="15.75" x14ac:dyDescent="0.25">
      <c r="A155" s="244" t="str">
        <f>Stigninger!A145</f>
        <v>Pensionsbidrag i alt</v>
      </c>
      <c r="B155" s="50">
        <f>SUM(B153:B154)</f>
        <v>0.12</v>
      </c>
      <c r="C155" s="49">
        <f>SUM(C153:C154)</f>
        <v>0.12</v>
      </c>
      <c r="D155" s="75">
        <f>SUM(D153:D154)</f>
        <v>0.12</v>
      </c>
      <c r="E155" s="48">
        <f>SUM(E153:E154)</f>
        <v>0.12</v>
      </c>
    </row>
  </sheetData>
  <sheetProtection algorithmName="SHA-512" hashValue="vBOtF1eAuCu/dQOe2/bX+fChHo1PU5+GN96CzK6ojgcuvK/E88trbaREalUQxNFsSVhZ0osQQHW5DKGASM2kDA==" saltValue="Td4V3DWshieGFrf5YvD/yg==" spinCount="100000" sheet="1" objects="1" scenarios="1"/>
  <mergeCells count="7">
    <mergeCell ref="A136:A137"/>
    <mergeCell ref="A1:A2"/>
    <mergeCell ref="A109:E109"/>
    <mergeCell ref="A52:A53"/>
    <mergeCell ref="A80:A81"/>
    <mergeCell ref="A94:A95"/>
    <mergeCell ref="A105:A106"/>
  </mergeCells>
  <phoneticPr fontId="0" type="noConversion"/>
  <printOptions horizontalCentered="1"/>
  <pageMargins left="0.78740157480314965" right="0.78740157480314965" top="1.3779527559055118" bottom="0.59055118110236227" header="0.59055118110236227" footer="0.39370078740157483"/>
  <pageSetup paperSize="9" orientation="portrait" r:id="rId1"/>
  <headerFooter alignWithMargins="0">
    <oddHeader>&amp;L&amp;"Arial,Fed"&amp;16 3F&amp;C&amp;"Arial,Fed"&amp;16Redderoverenskomster 2020-2023
&amp;A&amp;R&amp;"Arial,Fed"&amp;16DEA</oddHeader>
    <oddFooter>&amp;L&amp;9&amp;F&amp;R&amp;9&amp;D, kl. &amp;T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4CE3-8D0F-462D-A367-1E7BF8100405}">
  <dimension ref="A1:S61"/>
  <sheetViews>
    <sheetView showGridLines="0" showRowColHeaders="0" showRuler="0" zoomScale="150" zoomScaleNormal="150" zoomScalePageLayoutView="175" workbookViewId="0">
      <selection sqref="A1:F1"/>
    </sheetView>
  </sheetViews>
  <sheetFormatPr defaultColWidth="9" defaultRowHeight="15" x14ac:dyDescent="0.2"/>
  <cols>
    <col min="1" max="1" width="45.7109375" style="186" customWidth="1"/>
    <col min="2" max="2" width="15.7109375" style="184" customWidth="1"/>
    <col min="3" max="3" width="0.85546875" style="184" customWidth="1"/>
    <col min="4" max="4" width="15.7109375" style="184" customWidth="1"/>
    <col min="5" max="5" width="0.85546875" style="184" customWidth="1"/>
    <col min="6" max="6" width="15.7109375" style="184" customWidth="1"/>
    <col min="7" max="7" width="2.7109375" style="184" customWidth="1"/>
    <col min="8" max="8" width="39.42578125" style="184" hidden="1" customWidth="1"/>
    <col min="9" max="9" width="24.5703125" style="184" hidden="1" customWidth="1"/>
    <col min="10" max="10" width="11.42578125" style="191" hidden="1" customWidth="1"/>
    <col min="11" max="13" width="11.42578125" style="184" hidden="1" customWidth="1"/>
    <col min="14" max="14" width="20.28515625" style="184" hidden="1" customWidth="1"/>
    <col min="15" max="16384" width="9" style="184"/>
  </cols>
  <sheetData>
    <row r="1" spans="1:19" ht="20.100000000000001" customHeight="1" x14ac:dyDescent="0.3">
      <c r="A1" s="359" t="s">
        <v>126</v>
      </c>
      <c r="B1" s="359"/>
      <c r="C1" s="359"/>
      <c r="D1" s="359"/>
      <c r="E1" s="359"/>
      <c r="F1" s="359"/>
    </row>
    <row r="2" spans="1:19" ht="20.25" x14ac:dyDescent="0.3">
      <c r="A2" s="359" t="str">
        <f>'B. Ambulance'!A2</f>
        <v>mellem DEA for Falck/Responce og 3F</v>
      </c>
      <c r="B2" s="359"/>
      <c r="C2" s="359"/>
      <c r="D2" s="359"/>
      <c r="E2" s="359"/>
      <c r="F2" s="359"/>
    </row>
    <row r="3" spans="1:19" ht="20.25" x14ac:dyDescent="0.3">
      <c r="A3" s="359" t="str">
        <f>'B. Ambulance'!A3</f>
        <v>vedrørende B. Ambulance</v>
      </c>
      <c r="B3" s="359"/>
      <c r="C3" s="359"/>
      <c r="D3" s="359"/>
      <c r="E3" s="359"/>
      <c r="F3" s="359"/>
    </row>
    <row r="4" spans="1:19" ht="20.25" x14ac:dyDescent="0.3">
      <c r="A4" s="359" t="str">
        <f>'B. Ambulance'!$A$4</f>
        <v>1. marts 2020 til 28. februar 2023</v>
      </c>
      <c r="B4" s="361"/>
      <c r="C4" s="361"/>
      <c r="D4" s="361"/>
      <c r="E4" s="361"/>
      <c r="F4" s="361"/>
    </row>
    <row r="5" spans="1:19" x14ac:dyDescent="0.2">
      <c r="A5" s="362" t="str">
        <f>'B. Ambulance'!$A$5</f>
        <v>Gældende fra begyndelsen af den lønningsuge hvori 1. marts indgår.</v>
      </c>
      <c r="B5" s="362"/>
      <c r="C5" s="362"/>
      <c r="D5" s="362"/>
      <c r="E5" s="360"/>
      <c r="F5" s="360"/>
    </row>
    <row r="6" spans="1:19" ht="18" customHeight="1" x14ac:dyDescent="0.3">
      <c r="A6" s="359"/>
      <c r="B6" s="360"/>
      <c r="C6" s="360"/>
      <c r="D6" s="360"/>
      <c r="E6" s="360"/>
      <c r="F6" s="360"/>
    </row>
    <row r="7" spans="1:19" ht="18" x14ac:dyDescent="0.25">
      <c r="A7" s="185" t="s">
        <v>44</v>
      </c>
      <c r="C7" s="186"/>
      <c r="D7" s="186"/>
      <c r="E7" s="186"/>
      <c r="F7" s="187"/>
      <c r="M7" s="188"/>
      <c r="N7" s="188"/>
      <c r="O7" s="188"/>
    </row>
    <row r="8" spans="1:19" ht="15.75" customHeight="1" x14ac:dyDescent="0.25">
      <c r="A8" s="227" t="str">
        <f>H9</f>
        <v>Faggruppe</v>
      </c>
      <c r="B8" s="350"/>
      <c r="C8" s="350"/>
      <c r="D8" s="350"/>
      <c r="E8" s="218"/>
      <c r="F8" s="218"/>
      <c r="J8" s="352" t="str">
        <f>Resultat!A3</f>
        <v>Grundløn, pr. måned</v>
      </c>
      <c r="K8" s="353"/>
      <c r="L8" s="353"/>
      <c r="M8" s="354"/>
      <c r="N8" s="259" t="s">
        <v>123</v>
      </c>
      <c r="Q8" s="188"/>
      <c r="R8" s="188"/>
      <c r="S8" s="188"/>
    </row>
    <row r="9" spans="1:19" ht="15.75" customHeight="1" x14ac:dyDescent="0.25">
      <c r="A9" s="228" t="s">
        <v>48</v>
      </c>
      <c r="B9" s="350"/>
      <c r="C9" s="358"/>
      <c r="D9" s="358"/>
      <c r="E9" s="230"/>
      <c r="F9" s="191"/>
      <c r="H9" s="226" t="s">
        <v>99</v>
      </c>
      <c r="I9" s="255" t="s">
        <v>4</v>
      </c>
      <c r="J9" s="268" t="s">
        <v>103</v>
      </c>
      <c r="K9" s="269" t="s">
        <v>100</v>
      </c>
      <c r="L9" s="269" t="s">
        <v>101</v>
      </c>
      <c r="M9" s="270" t="s">
        <v>102</v>
      </c>
      <c r="N9" s="260" t="s">
        <v>94</v>
      </c>
      <c r="Q9" s="188"/>
      <c r="R9" s="188"/>
      <c r="S9" s="188"/>
    </row>
    <row r="10" spans="1:19" ht="15.75" customHeight="1" x14ac:dyDescent="0.25">
      <c r="A10" s="227" t="s">
        <v>104</v>
      </c>
      <c r="B10" s="355" t="s">
        <v>115</v>
      </c>
      <c r="C10" s="357"/>
      <c r="D10" s="357"/>
      <c r="E10" s="191"/>
      <c r="F10" s="191"/>
      <c r="H10" s="238"/>
      <c r="I10" s="256"/>
      <c r="J10" s="265"/>
      <c r="K10" s="266"/>
      <c r="L10" s="266"/>
      <c r="M10" s="267"/>
      <c r="N10" s="225"/>
    </row>
    <row r="11" spans="1:19" ht="15" customHeight="1" x14ac:dyDescent="0.2">
      <c r="A11" s="229" t="str">
        <f>H11</f>
        <v>B. Ambulance</v>
      </c>
      <c r="B11" s="348"/>
      <c r="C11" s="349"/>
      <c r="D11" s="349"/>
      <c r="H11" s="223" t="str">
        <f>Resultat!A1</f>
        <v>B. Ambulance</v>
      </c>
      <c r="I11" s="257">
        <f t="shared" ref="I11:I16" si="0">B11</f>
        <v>0</v>
      </c>
      <c r="J11" s="77">
        <f>Resultat!B3</f>
        <v>24936.79</v>
      </c>
      <c r="K11" s="9">
        <f>Resultat!C3</f>
        <v>25449.85</v>
      </c>
      <c r="L11" s="9">
        <f>Resultat!D3</f>
        <v>25962.91</v>
      </c>
      <c r="M11" s="12">
        <f>Resultat!E3</f>
        <v>26467.95</v>
      </c>
      <c r="N11" s="253">
        <f>Stigninger!B51</f>
        <v>0.04</v>
      </c>
    </row>
    <row r="12" spans="1:19" ht="15" customHeight="1" x14ac:dyDescent="0.2">
      <c r="A12" s="229" t="str">
        <f t="shared" ref="A12:A16" si="1">H12</f>
        <v>C. Brand</v>
      </c>
      <c r="B12" s="348"/>
      <c r="C12" s="349"/>
      <c r="D12" s="349"/>
      <c r="H12" s="223" t="str">
        <f>Resultat!A52</f>
        <v>C. Brand</v>
      </c>
      <c r="I12" s="257">
        <f t="shared" si="0"/>
        <v>0</v>
      </c>
      <c r="J12" s="77">
        <f>Resultat!B54</f>
        <v>24737.07</v>
      </c>
      <c r="K12" s="9">
        <f>Resultat!C54</f>
        <v>25250.13</v>
      </c>
      <c r="L12" s="9">
        <f>Resultat!D54</f>
        <v>25763.19</v>
      </c>
      <c r="M12" s="12">
        <f>Resultat!E54</f>
        <v>26268.23</v>
      </c>
      <c r="N12" s="253">
        <f>Stigninger!B77</f>
        <v>0.04</v>
      </c>
    </row>
    <row r="13" spans="1:19" ht="15" customHeight="1" x14ac:dyDescent="0.2">
      <c r="A13" s="229" t="str">
        <f t="shared" si="1"/>
        <v>D. Liggende sygetransport</v>
      </c>
      <c r="B13" s="348"/>
      <c r="C13" s="349"/>
      <c r="D13" s="349"/>
      <c r="H13" s="223" t="str">
        <f>Resultat!A80</f>
        <v>D. Liggende sygetransport</v>
      </c>
      <c r="I13" s="257">
        <f t="shared" si="0"/>
        <v>0</v>
      </c>
      <c r="J13" s="77">
        <f>Resultat!B82</f>
        <v>24737.07</v>
      </c>
      <c r="K13" s="9">
        <f>Resultat!C82</f>
        <v>25250.13</v>
      </c>
      <c r="L13" s="9">
        <f>Resultat!D82</f>
        <v>25763.19</v>
      </c>
      <c r="M13" s="12">
        <f>Resultat!E82</f>
        <v>26268.23</v>
      </c>
      <c r="N13" s="253">
        <f>Stigninger!B89</f>
        <v>0.03</v>
      </c>
    </row>
    <row r="14" spans="1:19" ht="15" customHeight="1" x14ac:dyDescent="0.2">
      <c r="A14" s="229" t="str">
        <f t="shared" si="1"/>
        <v>E. PTR (persontransport)</v>
      </c>
      <c r="B14" s="348"/>
      <c r="C14" s="349"/>
      <c r="D14" s="349"/>
      <c r="H14" s="223" t="str">
        <f>Resultat!A94</f>
        <v>E. PTR (persontransport)</v>
      </c>
      <c r="I14" s="257">
        <f t="shared" si="0"/>
        <v>0</v>
      </c>
      <c r="J14" s="77">
        <f>Resultat!B96</f>
        <v>23234.58</v>
      </c>
      <c r="K14" s="9">
        <f>Resultat!C96</f>
        <v>23747.64</v>
      </c>
      <c r="L14" s="9">
        <f>Resultat!D96</f>
        <v>24260.7</v>
      </c>
      <c r="M14" s="12">
        <f>Resultat!E96</f>
        <v>24765.74</v>
      </c>
      <c r="N14" s="253">
        <f>Stigninger!B98</f>
        <v>0.02</v>
      </c>
    </row>
    <row r="15" spans="1:19" ht="15" customHeight="1" x14ac:dyDescent="0.2">
      <c r="A15" s="229" t="str">
        <f t="shared" si="1"/>
        <v>F1. Assistance - Vej-/Skadeservice</v>
      </c>
      <c r="B15" s="348"/>
      <c r="C15" s="349"/>
      <c r="D15" s="349"/>
      <c r="H15" s="223" t="str">
        <f>Resultat!A105</f>
        <v>F1. Assistance - Vej-/Skadeservice</v>
      </c>
      <c r="I15" s="257">
        <f t="shared" si="0"/>
        <v>0</v>
      </c>
      <c r="J15" s="77">
        <f>Resultat!B107</f>
        <v>24737.07</v>
      </c>
      <c r="K15" s="9">
        <f>Resultat!C107</f>
        <v>25250.13</v>
      </c>
      <c r="L15" s="9">
        <f>Resultat!D107</f>
        <v>25763.19</v>
      </c>
      <c r="M15" s="12">
        <f>Resultat!E107</f>
        <v>26268.23</v>
      </c>
      <c r="N15" s="253">
        <f>Stigninger!B111</f>
        <v>0.03</v>
      </c>
    </row>
    <row r="16" spans="1:19" ht="15" customHeight="1" x14ac:dyDescent="0.2">
      <c r="A16" s="229" t="str">
        <f t="shared" si="1"/>
        <v>F2. Assistance - Montør/lager</v>
      </c>
      <c r="B16" s="348"/>
      <c r="C16" s="349"/>
      <c r="D16" s="349"/>
      <c r="H16" s="224" t="str">
        <f>Resultat!A120</f>
        <v>F2. Assistance - Montør/lager</v>
      </c>
      <c r="I16" s="258">
        <f t="shared" si="0"/>
        <v>0</v>
      </c>
      <c r="J16" s="262">
        <f>Resultat!B122</f>
        <v>25980.69</v>
      </c>
      <c r="K16" s="263">
        <f>Resultat!C122</f>
        <v>26493.75</v>
      </c>
      <c r="L16" s="263">
        <f>Resultat!D122</f>
        <v>27006.81</v>
      </c>
      <c r="M16" s="264">
        <f>Resultat!E122</f>
        <v>27511.85</v>
      </c>
      <c r="N16" s="254">
        <f>Stigninger!B125</f>
        <v>0.04</v>
      </c>
    </row>
    <row r="17" spans="1:8" ht="15.75" customHeight="1" x14ac:dyDescent="0.25">
      <c r="A17" s="227" t="s">
        <v>117</v>
      </c>
      <c r="B17" s="355" t="str">
        <f>B10</f>
        <v>Vælg jf. faggruppe</v>
      </c>
      <c r="C17" s="356"/>
      <c r="D17" s="356"/>
      <c r="E17" s="186"/>
      <c r="H17" s="237" t="str">
        <f>Stigninger!A113</f>
        <v>Ansat før 1. oktober 2017 ved Falck Teknik</v>
      </c>
    </row>
    <row r="18" spans="1:8" ht="15" customHeight="1" x14ac:dyDescent="0.2">
      <c r="A18" s="229" t="str">
        <f>H11</f>
        <v>B. Ambulance</v>
      </c>
      <c r="B18" s="350"/>
      <c r="C18" s="351"/>
      <c r="D18" s="351"/>
      <c r="E18" s="216"/>
      <c r="H18" s="241"/>
    </row>
    <row r="19" spans="1:8" ht="15" customHeight="1" x14ac:dyDescent="0.2">
      <c r="A19" s="229" t="str">
        <f>H12</f>
        <v>C. Brand</v>
      </c>
      <c r="B19" s="350"/>
      <c r="C19" s="351"/>
      <c r="D19" s="351"/>
      <c r="E19" s="216"/>
      <c r="H19" s="241"/>
    </row>
    <row r="20" spans="1:8" ht="15" customHeight="1" x14ac:dyDescent="0.25">
      <c r="A20" s="189"/>
      <c r="B20" s="190"/>
      <c r="C20" s="190"/>
      <c r="D20" s="190"/>
      <c r="E20" s="190"/>
      <c r="F20" s="190"/>
    </row>
    <row r="21" spans="1:8" ht="15.75" customHeight="1" x14ac:dyDescent="0.25">
      <c r="A21" s="189" t="s">
        <v>96</v>
      </c>
      <c r="B21" s="85" t="str">
        <f>'B. Ambulance'!$B$11</f>
        <v>1. marts 2020</v>
      </c>
      <c r="C21" s="85"/>
      <c r="D21" s="85" t="str">
        <f>'B. Ambulance'!$D$11</f>
        <v>1. marts 2021</v>
      </c>
      <c r="E21" s="85"/>
      <c r="F21" s="85" t="str">
        <f>'B. Ambulance'!$F$11</f>
        <v>1. marts 2022</v>
      </c>
      <c r="H21" s="261" t="s">
        <v>94</v>
      </c>
    </row>
    <row r="22" spans="1:8" ht="15" customHeight="1" x14ac:dyDescent="0.2">
      <c r="A22" s="191" t="str">
        <f>Resultat!A3</f>
        <v>Grundløn, pr. måned</v>
      </c>
      <c r="B22" s="192" t="str">
        <f>IF($B$8=0,"",Stigninger!C6)</f>
        <v/>
      </c>
      <c r="C22" s="193"/>
      <c r="D22" s="192" t="str">
        <f>IF($B$8=0,"",Stigninger!D6)</f>
        <v/>
      </c>
      <c r="E22" s="193"/>
      <c r="F22" s="192" t="str">
        <f>IF($B$8=0,"",Stigninger!E6)</f>
        <v/>
      </c>
      <c r="H22" s="192" t="str">
        <f>IF($B$8=0,"",VLOOKUP($B$8,$H$11:$J$16,3))</f>
        <v/>
      </c>
    </row>
    <row r="23" spans="1:8" ht="15" customHeight="1" x14ac:dyDescent="0.2">
      <c r="A23" s="191" t="str">
        <f>Resultat!A4</f>
        <v>Kvalifikationsløn</v>
      </c>
      <c r="B23" s="192" t="str">
        <f>IF($B$8=$H$14,Stigninger!$C$93,IF(OR($B$9="",$B$8&lt;&gt;$H$11),"",VLOOKUP($B$9,Stigninger!$A$8:$E$10,3)))</f>
        <v/>
      </c>
      <c r="C23" s="193"/>
      <c r="D23" s="192" t="str">
        <f>IF($B$8=$H$14,Stigninger!$D$93,IF(OR($B$9="",$B$8&lt;&gt;$H$11),"",VLOOKUP($B$9,Stigninger!$A$8:$E$10,4)))</f>
        <v/>
      </c>
      <c r="E23" s="193"/>
      <c r="F23" s="192" t="str">
        <f>IF($B$8=$H$14,Stigninger!$E$93,IF(OR($B$9="",$B$8&lt;&gt;$H$11),"",VLOOKUP($B$9,Stigninger!$A$8:$E$10,5)))</f>
        <v/>
      </c>
      <c r="H23" s="192" t="str">
        <f>IF($B$8=$H$14,Stigninger!$B$93,IF(OR($B$9="",$B$8&lt;&gt;$H$11),"",VLOOKUP($B$9,Stigninger!$A$8:$B$10,2)))</f>
        <v/>
      </c>
    </row>
    <row r="24" spans="1:8" ht="15" customHeight="1" x14ac:dyDescent="0.2">
      <c r="A24" s="191" t="str">
        <f>Resultat!A8</f>
        <v>Reddertillæg</v>
      </c>
      <c r="B24" s="192" t="str">
        <f>IF(OR($B$8=0,$B$8=$H$14,$B$8=$H$16),"",Stigninger!C11)</f>
        <v/>
      </c>
      <c r="C24" s="193"/>
      <c r="D24" s="192" t="str">
        <f>IF(OR($B$8=0,$B$8=$H$14,$B$8=$H$16),"",Stigninger!D11)</f>
        <v/>
      </c>
      <c r="E24" s="193"/>
      <c r="F24" s="192" t="str">
        <f>IF(OR($B$8=0,$B$8=$H$14,$B$8=$H$16),"",Stigninger!E11)</f>
        <v/>
      </c>
      <c r="H24" s="192" t="str">
        <f>IF(OR($B$8=0,$B$8=$H$14,$B$8=$H$16),"",Stigninger!B11)</f>
        <v/>
      </c>
    </row>
    <row r="25" spans="1:8" ht="15" customHeight="1" x14ac:dyDescent="0.2">
      <c r="A25" s="191" t="str">
        <f>Resultat!A9</f>
        <v>Særligt tillæg</v>
      </c>
      <c r="B25" s="192" t="str">
        <f>IF(OR($B$8=0,$B$8=$H$14,$B$8=$H$16),"",Stigninger!C12)</f>
        <v/>
      </c>
      <c r="C25" s="193"/>
      <c r="D25" s="192" t="str">
        <f>IF(OR($B$8=0,$B$8=$H$14,$B$8=$H$16),"",Stigninger!D12)</f>
        <v/>
      </c>
      <c r="E25" s="193"/>
      <c r="F25" s="192" t="str">
        <f>IF(OR($B$8=0,$B$8=$H$14,$B$8=$H$16),"",Stigninger!E12)</f>
        <v/>
      </c>
      <c r="H25" s="192" t="str">
        <f>IF(OR($B$8=0,$B$8=$H$14,$B$8=$H$16),"",Stigninger!B12)</f>
        <v/>
      </c>
    </row>
    <row r="26" spans="1:8" ht="15" customHeight="1" x14ac:dyDescent="0.2">
      <c r="A26" s="194" t="str">
        <f>Resultat!A10</f>
        <v>Anciennitetstillæg</v>
      </c>
      <c r="B26" s="209" t="str">
        <f>IF($B$8=0,"",IF($B$8=$H$11,IF($B$11&lt;&gt;0,VLOOKUP($B$11,Stigninger!$A$14:$E$27,3),""),IF($B$8=$H$12,IF($B$12&lt;&gt;0,VLOOKUP($B$12,Stigninger!$A$59:$E$61,3),""),IF($B$8=$H$13,IF($B$13&lt;&gt;0,VLOOKUP($B$13,Stigninger!$A$85:$E$87,3),""),IF($B$8=$H$14,IF($B$14&lt;&gt;0,VLOOKUP($B$14,Stigninger!$A$95:$E$96,3),""),IF($B$8=$H$15,IF($B$15&lt;&gt;0,VLOOKUP($B$15,Stigninger!$A$107:$E$109,3),""),IF($B$8=$H$16,IF($B$16&lt;&gt;0,VLOOKUP($B$16,Stigninger!$A$117:$E$123,3),""),)))))))</f>
        <v/>
      </c>
      <c r="D26" s="209" t="str">
        <f>IF($B$8=0,"",IF($B$8=$H$11,IF($B$11&lt;&gt;0,VLOOKUP($B$11,Stigninger!$A$14:$E$27,4),""),IF($B$8=$H$12,IF($B$12&lt;&gt;0,VLOOKUP($B$12,Stigninger!$A$59:$E$61,4),""),IF($B$8=$H$13,IF($B$13&lt;&gt;0,VLOOKUP($B$13,Stigninger!$A$85:$E$87,4),""),IF($B$8=$H$14,IF($B$14&lt;&gt;0,VLOOKUP($B$14,Stigninger!$A$95:$E$96,4),""),IF($B$8=$H$15,IF($B$15&lt;&gt;0,VLOOKUP($B$15,Stigninger!$A$107:$E$109,4),""),IF($B$8=$H$16,IF($B$16&lt;&gt;0,VLOOKUP($B$16,Stigninger!$A$117:$E$123,4),""),)))))))</f>
        <v/>
      </c>
      <c r="F26" s="209" t="str">
        <f>IF($B$8=0,"",IF($B$8=$H$11,IF($B$11&lt;&gt;0,VLOOKUP($B$11,Stigninger!$A$14:$E$27,5),""),IF($B$8=$H$12,IF($B$12&lt;&gt;0,VLOOKUP($B$12,Stigninger!$A$59:$E$61,5),""),IF($B$8=$H$13,IF($B$13&lt;&gt;0,VLOOKUP($B$13,Stigninger!$A$85:$E$87,5),""),IF($B$8=$H$14,IF($B$14&lt;&gt;0,VLOOKUP($B$14,Stigninger!$A$95:$E$96,5),""),IF($B$8=$H$15,IF($B$15&lt;&gt;0,VLOOKUP($B$15,Stigninger!$A$107:$E$109,5),""),IF($B$8=$H$16,IF($B$16&lt;&gt;0,VLOOKUP($B$16,Stigninger!$A$117:$E$123,5),""),)))))))</f>
        <v/>
      </c>
      <c r="H26" s="209" t="str">
        <f>IF($B$8=0,"",IF($B$8=$H$11,IF($B$11&lt;&gt;0,VLOOKUP($B$11,Stigninger!$A$14:$E$27,2),""),IF($B$8=$H$12,IF($B$12&lt;&gt;0,VLOOKUP($B$12,Stigninger!$A$59:$E$61,2),""),IF($B$8=$H$13,IF($B$13&lt;&gt;0,VLOOKUP($B$13,Stigninger!$A$85:$E$87,2),""),IF($B$8=$H$14,IF($B$14&lt;&gt;0,VLOOKUP($B$14,Stigninger!$A$95:$E$96,2),""),IF($B$8=$H$15,IF($B$15&lt;&gt;0,VLOOKUP($B$15,Stigninger!$A$107:$E$109,2),""),IF($B$8=$H$16,IF($B$16&lt;&gt;0,VLOOKUP($B$16,Stigninger!$A$117:$E$123,2),""),)))))))</f>
        <v/>
      </c>
    </row>
    <row r="27" spans="1:8" ht="15" customHeight="1" x14ac:dyDescent="0.2">
      <c r="A27" s="194" t="str">
        <f>Resultat!A25</f>
        <v>Geneløn ekskl. helligdagstillæg</v>
      </c>
      <c r="B27" s="195" t="str">
        <f>IF($B$8=$H$11,IF($B$18&lt;&gt;0,VLOOKUP($B$18,Stigninger!$A$31:$E$49,3),""),IF($B$8=$H$12,IF($B$19&lt;&gt;0,VLOOKUP($B$19,Stigninger!$A$65:$E$75,3),""),""))</f>
        <v/>
      </c>
      <c r="D27" s="195" t="str">
        <f>IF($B$8=$H$11,IF($B$18&lt;&gt;0,VLOOKUP($B$18,Stigninger!$A$31:$E$49,4),""),IF($B$8=$H$12,IF($B$19&lt;&gt;0,VLOOKUP($B$19,Stigninger!$A$65:$E$75,4),""),""))</f>
        <v/>
      </c>
      <c r="F27" s="195" t="str">
        <f>IF($B$8=$H$11,IF($B$18&lt;&gt;0,VLOOKUP($B$18,Stigninger!$A$31:$E$49,5),""),IF($B$8=$H$12,IF($B$19&lt;&gt;0,VLOOKUP($B$19,Stigninger!$A$65:$E$75,5),""),""))</f>
        <v/>
      </c>
      <c r="H27" s="195" t="str">
        <f>IF($B$8=$H$11,IF($B$18&lt;&gt;0,VLOOKUP($B$18,Stigninger!$A$31:$E$49,2),""),IF($B$8=$H$12,IF($B$19&lt;&gt;0,VLOOKUP($B$19,Stigninger!$A$65:$E$75,2),""),""))</f>
        <v/>
      </c>
    </row>
    <row r="28" spans="1:8" ht="15.75" customHeight="1" x14ac:dyDescent="0.25">
      <c r="A28" s="189" t="s">
        <v>131</v>
      </c>
      <c r="B28" s="196" t="str">
        <f>IF($B$8=0,"",SUM(B22:B27))</f>
        <v/>
      </c>
      <c r="C28" s="197"/>
      <c r="D28" s="198" t="str">
        <f>IF($B$8=0,"",SUM(D22:D27))</f>
        <v/>
      </c>
      <c r="E28" s="197"/>
      <c r="F28" s="198" t="str">
        <f>IF($B$8=0,"",SUM(F22:F27))</f>
        <v/>
      </c>
      <c r="H28" s="198" t="str">
        <f>IF($B$8=0,"",SUM(H22:H27))</f>
        <v/>
      </c>
    </row>
    <row r="29" spans="1:8" ht="15" customHeight="1" x14ac:dyDescent="0.2">
      <c r="A29" s="191" t="str">
        <f>Resultat!A49</f>
        <v>Særlig opsparing, inkl. feriepenge</v>
      </c>
      <c r="B29" s="192" t="str">
        <f>IF($B$8=0,"",($H$28+B28)*B40+B28*((VLOOKUP($B$8,$H$11:$N$16,7)+B40)))</f>
        <v/>
      </c>
      <c r="C29" s="192"/>
      <c r="D29" s="192" t="str">
        <f>IF($B$8=0,"",($H$28+B28+D28)*D40+D28*((VLOOKUP($B$8,$H$11:$N$16,7)+B40+D40)))</f>
        <v/>
      </c>
      <c r="E29" s="192"/>
      <c r="F29" s="192" t="str">
        <f>IF($B$8=0,"",($H$28+B28+D28+F28)*F40+F28*((VLOOKUP($B$8,$H$11:$N$16,7)+B40+D40+F40)))</f>
        <v/>
      </c>
      <c r="H29" s="192" t="str">
        <f>IF($B$8=0,"",H28*VLOOKUP(B8,H11:N16,7))</f>
        <v/>
      </c>
    </row>
    <row r="30" spans="1:8" ht="15.75" customHeight="1" thickBot="1" x14ac:dyDescent="0.3">
      <c r="A30" s="189" t="s">
        <v>95</v>
      </c>
      <c r="B30" s="199" t="str">
        <f>IF($B$8=0,"",SUM(B28:B29))</f>
        <v/>
      </c>
      <c r="C30" s="197"/>
      <c r="D30" s="199" t="str">
        <f>IF($B$8=0,"",SUM(D28:D29))</f>
        <v/>
      </c>
      <c r="E30" s="197"/>
      <c r="F30" s="198" t="str">
        <f>IF($B$8=0,"",SUM(F28:F29))</f>
        <v/>
      </c>
      <c r="H30" s="199" t="str">
        <f>IF($B$8=0,"",SUM(H28:H29))</f>
        <v/>
      </c>
    </row>
    <row r="31" spans="1:8" ht="15.75" customHeight="1" thickTop="1" thickBot="1" x14ac:dyDescent="0.3">
      <c r="A31" s="189" t="s">
        <v>98</v>
      </c>
      <c r="B31" s="213"/>
      <c r="C31" s="197"/>
      <c r="D31" s="213"/>
      <c r="E31" s="197"/>
      <c r="F31" s="217" t="str">
        <f>IF($B$8=0,"",SUM(B30:F30))</f>
        <v/>
      </c>
      <c r="H31" s="213"/>
    </row>
    <row r="32" spans="1:8" ht="15.75" customHeight="1" thickTop="1" x14ac:dyDescent="0.25">
      <c r="A32" s="189"/>
      <c r="B32" s="213"/>
      <c r="C32" s="197"/>
      <c r="D32" s="213"/>
      <c r="E32" s="197"/>
      <c r="F32" s="213"/>
      <c r="H32" s="213"/>
    </row>
    <row r="33" spans="1:6" ht="15" customHeight="1" x14ac:dyDescent="0.2">
      <c r="A33" s="191" t="str">
        <f>Resultat!A48</f>
        <v>Ferietillæg</v>
      </c>
      <c r="B33" s="209" t="str">
        <f>IF($B$8=0,"",$B$28*VLOOKUP($B$8,'Løn interaktiv'!$H$11:$J$16,3))</f>
        <v/>
      </c>
      <c r="C33" s="209"/>
      <c r="D33" s="209" t="str">
        <f>IF($B$8=0,"",$D$28*VLOOKUP($B$8,'Løn interaktiv'!$H$11:$J$16,3))</f>
        <v/>
      </c>
      <c r="E33" s="209"/>
      <c r="F33" s="209" t="str">
        <f>IF($B$8=0,"",$F$28*VLOOKUP($B$8,'Løn interaktiv'!$H$11:$J$16,3))</f>
        <v/>
      </c>
    </row>
    <row r="34" spans="1:6" ht="15" customHeight="1" x14ac:dyDescent="0.2">
      <c r="A34" s="191" t="s">
        <v>97</v>
      </c>
      <c r="B34" s="209" t="str">
        <f>IF($B$8=0,"",$B$30*'B. Ambulance'!B65)</f>
        <v/>
      </c>
      <c r="C34" s="209"/>
      <c r="D34" s="209" t="str">
        <f>IF($B$8=0,"",$D$30*'B. Ambulance'!D65)</f>
        <v/>
      </c>
      <c r="E34" s="209"/>
      <c r="F34" s="209" t="str">
        <f>IF($B$8=0,"",$F$30*'B. Ambulance'!F65)</f>
        <v/>
      </c>
    </row>
    <row r="35" spans="1:6" ht="16.5" customHeight="1" thickBot="1" x14ac:dyDescent="0.3">
      <c r="A35" s="189" t="s">
        <v>127</v>
      </c>
      <c r="B35" s="199" t="str">
        <f>IF($B$8=0,"",SUM(B30:B34))</f>
        <v/>
      </c>
      <c r="C35" s="197"/>
      <c r="D35" s="199" t="str">
        <f>IF($B$8=0,"",SUM(D30:D34))</f>
        <v/>
      </c>
      <c r="E35" s="197"/>
      <c r="F35" s="199" t="str">
        <f>IF($B$8=0,"",SUM(F30:F34)-F31)</f>
        <v/>
      </c>
    </row>
    <row r="36" spans="1:6" ht="16.5" customHeight="1" thickTop="1" thickBot="1" x14ac:dyDescent="0.3">
      <c r="A36" s="189" t="str">
        <f>A31</f>
        <v>Samlet stigning 2020-2023</v>
      </c>
      <c r="B36" s="213"/>
      <c r="C36" s="197"/>
      <c r="D36" s="213"/>
      <c r="E36" s="197"/>
      <c r="F36" s="217" t="str">
        <f>IF($B$8=0,"",SUM(B35:F35))</f>
        <v/>
      </c>
    </row>
    <row r="37" spans="1:6" ht="15" customHeight="1" thickTop="1" x14ac:dyDescent="0.2">
      <c r="A37" s="210"/>
      <c r="B37" s="192"/>
      <c r="C37" s="211"/>
      <c r="D37" s="192"/>
      <c r="E37" s="211"/>
      <c r="F37" s="192"/>
    </row>
    <row r="38" spans="1:6" ht="15.75" customHeight="1" x14ac:dyDescent="0.25">
      <c r="A38" s="210"/>
      <c r="B38" s="85" t="str">
        <f>'B. Ambulance'!$B$11</f>
        <v>1. marts 2020</v>
      </c>
      <c r="C38" s="85"/>
      <c r="D38" s="85" t="str">
        <f>'B. Ambulance'!$D$11</f>
        <v>1. marts 2021</v>
      </c>
      <c r="E38" s="85"/>
      <c r="F38" s="85" t="str">
        <f>'B. Ambulance'!$F$11</f>
        <v>1. marts 2022</v>
      </c>
    </row>
    <row r="39" spans="1:6" ht="15.75" customHeight="1" x14ac:dyDescent="0.25">
      <c r="A39" s="189" t="str">
        <f>Resultat!A48</f>
        <v>Ferietillæg</v>
      </c>
      <c r="B39" s="201" t="str">
        <f>IF($B$8=0,"",Stigninger!C124)</f>
        <v/>
      </c>
      <c r="C39" s="203"/>
      <c r="D39" s="201" t="str">
        <f>IF($B$8=0,"",Stigninger!D124)</f>
        <v/>
      </c>
      <c r="E39" s="203"/>
      <c r="F39" s="201" t="str">
        <f>IF($B$8=0,"",Stigninger!E124)</f>
        <v/>
      </c>
    </row>
    <row r="40" spans="1:6" ht="15.75" customHeight="1" x14ac:dyDescent="0.25">
      <c r="A40" s="189" t="str">
        <f>Resultat!A49</f>
        <v>Særlig opsparing, inkl. feriepenge</v>
      </c>
      <c r="B40" s="212" t="str">
        <f>IF($B$8=0,"",Stigninger!C51)</f>
        <v/>
      </c>
      <c r="C40" s="202"/>
      <c r="D40" s="212" t="str">
        <f>IF($B$8=0,"",Stigninger!D51)</f>
        <v/>
      </c>
      <c r="E40" s="202"/>
      <c r="F40" s="212" t="str">
        <f>IF($B$8=0,"",Stigninger!E51)</f>
        <v/>
      </c>
    </row>
    <row r="41" spans="1:6" ht="15" customHeight="1" x14ac:dyDescent="0.2">
      <c r="A41" s="191"/>
      <c r="B41" s="201"/>
      <c r="D41" s="201"/>
      <c r="F41" s="201"/>
    </row>
    <row r="42" spans="1:6" ht="15.75" customHeight="1" x14ac:dyDescent="0.25">
      <c r="A42" s="189" t="str">
        <f>Resultat!A152</f>
        <v>Pension</v>
      </c>
      <c r="B42" s="190"/>
      <c r="D42" s="190"/>
      <c r="E42" s="200"/>
      <c r="F42" s="190"/>
    </row>
    <row r="43" spans="1:6" ht="15" customHeight="1" x14ac:dyDescent="0.2">
      <c r="A43" s="191" t="str">
        <f>Resultat!A153</f>
        <v>Arbejdsgivers bidrag</v>
      </c>
      <c r="B43" s="201" t="str">
        <f>IF($B$8=0,"",Stigninger!C143)</f>
        <v/>
      </c>
      <c r="C43" s="203"/>
      <c r="D43" s="201" t="str">
        <f>IF($B$8=0,"",Stigninger!D143)</f>
        <v/>
      </c>
      <c r="E43" s="203"/>
      <c r="F43" s="201" t="str">
        <f>IF($B$8=0,"",Stigninger!E143)</f>
        <v/>
      </c>
    </row>
    <row r="44" spans="1:6" ht="15" customHeight="1" x14ac:dyDescent="0.2">
      <c r="A44" s="191" t="str">
        <f>Resultat!A154</f>
        <v>Lønmodtagers bidrag</v>
      </c>
      <c r="B44" s="201" t="str">
        <f>IF($B$8=0,"",Stigninger!C144)</f>
        <v/>
      </c>
      <c r="C44" s="203"/>
      <c r="D44" s="201" t="str">
        <f>IF($B$8=0,"",Stigninger!D144)</f>
        <v/>
      </c>
      <c r="E44" s="203"/>
      <c r="F44" s="201" t="str">
        <f>IF($B$8=0,"",Stigninger!E144)</f>
        <v/>
      </c>
    </row>
    <row r="45" spans="1:6" ht="16.5" customHeight="1" thickBot="1" x14ac:dyDescent="0.3">
      <c r="A45" s="189" t="str">
        <f>Resultat!A155</f>
        <v>Pensionsbidrag i alt</v>
      </c>
      <c r="B45" s="204" t="str">
        <f>IF($B$8=0,"",SUM(B43:B44))</f>
        <v/>
      </c>
      <c r="C45" s="205"/>
      <c r="D45" s="204" t="str">
        <f>IF($B$8=0,"",SUM(D43:D44))</f>
        <v/>
      </c>
      <c r="E45" s="205"/>
      <c r="F45" s="204" t="str">
        <f>IF($B$8=0,"",SUM(F43:F44))</f>
        <v/>
      </c>
    </row>
    <row r="46" spans="1:6" ht="15" customHeight="1" thickTop="1" x14ac:dyDescent="0.2">
      <c r="A46" s="173"/>
      <c r="B46" s="71"/>
      <c r="C46" s="71"/>
      <c r="D46" s="71"/>
      <c r="E46" s="71"/>
      <c r="F46" s="71"/>
    </row>
    <row r="47" spans="1:6" ht="15.75" customHeight="1" x14ac:dyDescent="0.25">
      <c r="A47" s="69" t="str">
        <f>'B. Ambulance'!A69</f>
        <v>Genetillæg pr. time</v>
      </c>
      <c r="B47" s="85" t="str">
        <f>'B. Ambulance'!$B$11</f>
        <v>1. marts 2020</v>
      </c>
      <c r="C47" s="85"/>
      <c r="D47" s="85" t="str">
        <f>'B. Ambulance'!$D$11</f>
        <v>1. marts 2021</v>
      </c>
      <c r="E47" s="85"/>
      <c r="F47" s="85" t="str">
        <f>'B. Ambulance'!$F$11</f>
        <v>1. marts 2022</v>
      </c>
    </row>
    <row r="48" spans="1:6" ht="15.75" customHeight="1" x14ac:dyDescent="0.25">
      <c r="A48" s="69" t="str">
        <f>'B. Ambulance'!A70</f>
        <v>Hverdage</v>
      </c>
      <c r="B48" s="71"/>
      <c r="C48" s="71"/>
      <c r="D48" s="71"/>
      <c r="E48" s="71"/>
      <c r="F48" s="71"/>
    </row>
    <row r="49" spans="1:6" ht="15" customHeight="1" x14ac:dyDescent="0.2">
      <c r="A49" s="67" t="str">
        <f>'B. Ambulance'!A71</f>
        <v>Dag – kl. 07.00 til kl. 18.00</v>
      </c>
      <c r="B49" s="71" t="str">
        <f>IF($B$8=0,"",Stigninger!C136)</f>
        <v/>
      </c>
      <c r="C49" s="71"/>
      <c r="D49" s="71" t="str">
        <f>IF($B$8=0,"",Stigninger!D136)</f>
        <v/>
      </c>
      <c r="E49" s="71"/>
      <c r="F49" s="71" t="str">
        <f>IF($B$8=0,"",Stigninger!E136)</f>
        <v/>
      </c>
    </row>
    <row r="50" spans="1:6" ht="15" customHeight="1" x14ac:dyDescent="0.2">
      <c r="A50" s="67" t="str">
        <f>'B. Ambulance'!A72</f>
        <v>Aften – kl. 18.00 til kl. 24.00</v>
      </c>
      <c r="B50" s="71" t="str">
        <f>IF($B$8=0,"",Stigninger!C137)</f>
        <v/>
      </c>
      <c r="C50" s="71"/>
      <c r="D50" s="71" t="str">
        <f>IF($B$8=0,"",Stigninger!D137)</f>
        <v/>
      </c>
      <c r="E50" s="71"/>
      <c r="F50" s="71" t="str">
        <f>IF($B$8=0,"",Stigninger!E137)</f>
        <v/>
      </c>
    </row>
    <row r="51" spans="1:6" ht="15" customHeight="1" x14ac:dyDescent="0.2">
      <c r="A51" s="67" t="str">
        <f>'B. Ambulance'!A73</f>
        <v>Nat – kl. 24.00 til kl. 07.00</v>
      </c>
      <c r="B51" s="71" t="str">
        <f>IF($B$8=0,"",Stigninger!C138)</f>
        <v/>
      </c>
      <c r="C51" s="71"/>
      <c r="D51" s="71" t="str">
        <f>IF($B$8=0,"",Stigninger!D138)</f>
        <v/>
      </c>
      <c r="E51" s="71"/>
      <c r="F51" s="71" t="str">
        <f>IF($B$8=0,"",Stigninger!E138)</f>
        <v/>
      </c>
    </row>
    <row r="52" spans="1:6" ht="15.75" customHeight="1" x14ac:dyDescent="0.25">
      <c r="A52" s="69" t="str">
        <f>'B. Ambulance'!A74</f>
        <v>Weekend</v>
      </c>
      <c r="B52" s="71"/>
      <c r="C52" s="71"/>
      <c r="D52" s="71"/>
      <c r="E52" s="71"/>
      <c r="F52" s="71"/>
    </row>
    <row r="53" spans="1:6" ht="15" customHeight="1" x14ac:dyDescent="0.2">
      <c r="A53" s="67" t="str">
        <f>'B. Ambulance'!A75</f>
        <v>Lørdag kl. 07.00 til mandag kl. 07.00</v>
      </c>
      <c r="B53" s="71" t="str">
        <f>IF($B$8=0,"",Stigninger!C140)</f>
        <v/>
      </c>
      <c r="C53" s="71"/>
      <c r="D53" s="71" t="str">
        <f>IF($B$8=0,"",Stigninger!D140)</f>
        <v/>
      </c>
      <c r="E53" s="71"/>
      <c r="F53" s="71" t="str">
        <f>IF($B$8=0,"",Stigninger!E140)</f>
        <v/>
      </c>
    </row>
    <row r="54" spans="1:6" ht="15" customHeight="1" x14ac:dyDescent="0.2">
      <c r="A54" s="67" t="str">
        <f>'B. Ambulance'!A76</f>
        <v>Skæve helligdage og øvrige helligdage</v>
      </c>
      <c r="B54" s="71" t="str">
        <f>IF($B$8=0,"",Stigninger!C141)</f>
        <v/>
      </c>
      <c r="C54" s="71"/>
      <c r="D54" s="71" t="str">
        <f>IF($B$8=0,"",Stigninger!D141)</f>
        <v/>
      </c>
      <c r="E54" s="71"/>
      <c r="F54" s="71" t="str">
        <f>IF($B$8=0,"",Stigninger!E141)</f>
        <v/>
      </c>
    </row>
    <row r="55" spans="1:6" ht="15" customHeight="1" x14ac:dyDescent="0.2">
      <c r="A55" s="184"/>
      <c r="B55" s="193"/>
      <c r="C55" s="193"/>
      <c r="D55" s="193"/>
      <c r="E55" s="193"/>
      <c r="F55" s="193"/>
    </row>
    <row r="56" spans="1:6" ht="15.75" customHeight="1" x14ac:dyDescent="0.25">
      <c r="A56" s="189" t="str">
        <f>Resultat!A138</f>
        <v>Øvrige særlige tillæg</v>
      </c>
      <c r="B56" s="85" t="str">
        <f>IF(OR($B$8=$H$11,$B$8=$H$12),'B. Ambulance'!$B$11,"")</f>
        <v/>
      </c>
      <c r="C56" s="85"/>
      <c r="D56" s="85" t="str">
        <f>IF(OR($B$8=$H$11,$B$8=$H$12),'B. Ambulance'!$D$11,"")</f>
        <v/>
      </c>
      <c r="E56" s="85"/>
      <c r="F56" s="85" t="str">
        <f>IF(OR($B$8=$H$11,$B$8=$H$12),'B. Ambulance'!$F$11,"")</f>
        <v/>
      </c>
    </row>
    <row r="57" spans="1:6" ht="30" customHeight="1" x14ac:dyDescent="0.2">
      <c r="A57" s="210" t="str">
        <f>Resultat!A139</f>
        <v>Minuttillæg til døgnvagter med minutter og områdereddere på fast døgnvagt</v>
      </c>
      <c r="B57" s="192" t="str">
        <f>IF(OR($B$8=$H$11,$B$8=$H$12),Stigninger!C129,"")</f>
        <v/>
      </c>
      <c r="C57" s="211"/>
      <c r="D57" s="192" t="str">
        <f>IF(OR($B$8=$H$11,$B$8=$H$12),Stigninger!D129,"")</f>
        <v/>
      </c>
      <c r="E57" s="211"/>
      <c r="F57" s="192" t="str">
        <f>IF(OR($B$8=$H$11,$B$8=$H$12),Stigninger!E129,"")</f>
        <v/>
      </c>
    </row>
    <row r="58" spans="1:6" ht="45" x14ac:dyDescent="0.2">
      <c r="A58" s="210" t="str">
        <f>Resultat!A140</f>
        <v>Minuttillæg pr. præsteret døgnvagt til ordinære områdereddere og stationsafløsere på døgnvagt</v>
      </c>
      <c r="B58" s="192" t="str">
        <f>IF(OR($B$8=$H$11,$B$8=$H$12),Stigninger!C130,"")</f>
        <v/>
      </c>
      <c r="C58" s="211"/>
      <c r="D58" s="192" t="str">
        <f>IF(OR($B$8=$H$11,$B$8=$H$12),Stigninger!D130,"")</f>
        <v/>
      </c>
      <c r="E58" s="211"/>
      <c r="F58" s="192" t="str">
        <f>IF(OR($B$8=$H$11,$B$8=$H$12),Stigninger!E130,"")</f>
        <v/>
      </c>
    </row>
    <row r="59" spans="1:6" ht="45" x14ac:dyDescent="0.2">
      <c r="A59" s="210" t="str">
        <f>Resultat!A141</f>
        <v>Døgnvagtstillæg pr. præsteret døgnvagt til ordinære områdereddere og stationsafløsere på døgnvagt</v>
      </c>
      <c r="B59" s="192" t="str">
        <f>IF(OR($B$8=$H$11,$B$8=$H$12),Stigninger!C131,"")</f>
        <v/>
      </c>
      <c r="C59" s="211"/>
      <c r="D59" s="192" t="str">
        <f>IF(OR($B$8=$H$11,$B$8=$H$12),Stigninger!D131,"")</f>
        <v/>
      </c>
      <c r="E59" s="211"/>
      <c r="F59" s="192" t="str">
        <f>IF(OR($B$8=$H$11,$B$8=$H$12),Stigninger!E131,"")</f>
        <v/>
      </c>
    </row>
    <row r="60" spans="1:6" x14ac:dyDescent="0.2">
      <c r="A60" s="210" t="str">
        <f>Resultat!A142</f>
        <v>Forskydningstillæg</v>
      </c>
      <c r="B60" s="192" t="str">
        <f>IF(OR($B$8=$H$11,$B$8=$H$12),Stigninger!C132,"")</f>
        <v/>
      </c>
      <c r="C60" s="211"/>
      <c r="D60" s="192" t="str">
        <f>IF(OR($B$8=$H$11,$B$8=$H$12),Stigninger!D132,"")</f>
        <v/>
      </c>
      <c r="E60" s="211"/>
      <c r="F60" s="192" t="str">
        <f>IF(OR($B$8=$H$11,$B$8=$H$12),Stigninger!E132,"")</f>
        <v/>
      </c>
    </row>
    <row r="61" spans="1:6" ht="30" x14ac:dyDescent="0.2">
      <c r="A61" s="210" t="str">
        <f>Resultat!A143</f>
        <v>Områdereddertillæg til ordinære områdereddere og stationsafløsere</v>
      </c>
      <c r="B61" s="192" t="str">
        <f>IF(OR($B$8=$H$11,$B$8=$H$12),Stigninger!C133,"")</f>
        <v/>
      </c>
      <c r="C61" s="211"/>
      <c r="D61" s="192" t="str">
        <f>IF(OR($B$8=$H$11,$B$8=$H$12),Stigninger!D133,"")</f>
        <v/>
      </c>
      <c r="E61" s="211"/>
      <c r="F61" s="192" t="str">
        <f>IF(OR($B$8=$H$11,$B$8=$H$12),Stigninger!E133,"")</f>
        <v/>
      </c>
    </row>
  </sheetData>
  <sheetProtection algorithmName="SHA-512" hashValue="cXCWPQ5cJCeBLeqYhl5zuXoez6w2Y8O+erdyNhXk9ajSJDXAKpqjdMbR2/SioIPSrA6NdNoTGa+Gmr59/sHdpA==" saltValue="DUmY38ZqwlMJWUs2yfVt2A==" spinCount="100000" sheet="1" objects="1" scenarios="1"/>
  <mergeCells count="19">
    <mergeCell ref="A6:F6"/>
    <mergeCell ref="A1:F1"/>
    <mergeCell ref="A2:F2"/>
    <mergeCell ref="A3:F3"/>
    <mergeCell ref="A4:F4"/>
    <mergeCell ref="A5:F5"/>
    <mergeCell ref="B16:D16"/>
    <mergeCell ref="B19:D19"/>
    <mergeCell ref="B18:D18"/>
    <mergeCell ref="J8:M8"/>
    <mergeCell ref="B17:D17"/>
    <mergeCell ref="B10:D10"/>
    <mergeCell ref="B11:D11"/>
    <mergeCell ref="B12:D12"/>
    <mergeCell ref="B13:D13"/>
    <mergeCell ref="B9:D9"/>
    <mergeCell ref="B8:D8"/>
    <mergeCell ref="B14:D14"/>
    <mergeCell ref="B15:D15"/>
  </mergeCells>
  <dataValidations disablePrompts="1" count="3">
    <dataValidation type="list" allowBlank="1" showInputMessage="1" showErrorMessage="1" errorTitle="Fejl" error="Der skal vælges fra liste" sqref="F7" xr:uid="{25508F7E-0FBB-43F6-941C-D45C0440F93E}">
      <formula1>#REF!</formula1>
    </dataValidation>
    <dataValidation type="list" allowBlank="1" showInputMessage="1" showErrorMessage="1" errorTitle="Fejl" error="Der skal vælges fra liste" sqref="E9:E10" xr:uid="{9091BDB2-8B00-46AB-80A1-945619AB9FD3}">
      <formula1>#REF!</formula1>
    </dataValidation>
    <dataValidation type="list" allowBlank="1" showInputMessage="1" showErrorMessage="1" sqref="B8:D8" xr:uid="{0FAFA8B3-4FC4-470A-BD8E-498DADF37282}">
      <formula1>$H$10:$H$16</formula1>
    </dataValidation>
  </dataValidations>
  <printOptions horizontalCentered="1"/>
  <pageMargins left="0.59055118110236227" right="0.39370078740157483" top="0.59055118110236227" bottom="0.19685039370078741" header="0.59055118110236227" footer="0"/>
  <pageSetup paperSize="9" orientation="portrait" r:id="rId1"/>
  <headerFooter alignWithMargins="0">
    <oddHeader xml:space="preserve">&amp;R&amp;"Arial,Fed"&amp;16
</oddHeader>
  </headerFooter>
  <ignoredErrors>
    <ignoredError sqref="C33 E33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errorTitle="Fejl" error="Der skal vælges fra liste" xr:uid="{C9D1EE4D-E277-4EAD-95EB-E92C24A6C06D}">
          <x14:formula1>
            <xm:f>'F. Assistance 2'!$A$15:$A$22</xm:f>
          </x14:formula1>
          <xm:sqref>B16</xm:sqref>
        </x14:dataValidation>
        <x14:dataValidation type="list" allowBlank="1" showInputMessage="1" showErrorMessage="1" errorTitle="Fejl" error="Der skal vælges fra liste" xr:uid="{C3A2B7FB-95F2-496B-9E85-95B1D72E589D}">
          <x14:formula1>
            <xm:f>'F. Assistance 1'!$A$22:$A$25</xm:f>
          </x14:formula1>
          <xm:sqref>B15</xm:sqref>
        </x14:dataValidation>
        <x14:dataValidation type="list" allowBlank="1" showInputMessage="1" showErrorMessage="1" errorTitle="Fejl" error="Der skal vælges fra liste" xr:uid="{58D7171E-65B5-40FA-BAB3-991B9F86EC81}">
          <x14:formula1>
            <xm:f>'E. PTR (persontransport)'!$A$14:$A$16</xm:f>
          </x14:formula1>
          <xm:sqref>B14</xm:sqref>
        </x14:dataValidation>
        <x14:dataValidation type="list" allowBlank="1" showInputMessage="1" showErrorMessage="1" errorTitle="Fejl" error="Der skal vælges fra liste" xr:uid="{84FD3779-5BFB-4A14-8F69-BCD03D15097E}">
          <x14:formula1>
            <xm:f>'D. Liggende sygetransport'!$A$16:$A$19</xm:f>
          </x14:formula1>
          <xm:sqref>B13</xm:sqref>
        </x14:dataValidation>
        <x14:dataValidation type="list" allowBlank="1" showInputMessage="1" showErrorMessage="1" errorTitle="Fejl" error="Der skal vælges fra liste" xr:uid="{0A009F86-B330-4488-8C92-E5BBB4AA4F2F}">
          <x14:formula1>
            <xm:f>'C. Brand'!$A$16:$A$19</xm:f>
          </x14:formula1>
          <xm:sqref>B12</xm:sqref>
        </x14:dataValidation>
        <x14:dataValidation type="list" allowBlank="1" showInputMessage="1" showErrorMessage="1" errorTitle="Fejl" error="Der skal vælges fra liste" xr:uid="{DD89F4E6-B4FA-4BC4-9288-80AE63EA5866}">
          <x14:formula1>
            <xm:f>'B. Ambulance'!$A$22:$A$36</xm:f>
          </x14:formula1>
          <xm:sqref>B11:D11</xm:sqref>
        </x14:dataValidation>
        <x14:dataValidation type="list" allowBlank="1" showInputMessage="1" showErrorMessage="1" xr:uid="{D743B5C4-6718-479D-9770-0378566915E2}">
          <x14:formula1>
            <xm:f>'B. Ambulance'!$A$14:$A$17</xm:f>
          </x14:formula1>
          <xm:sqref>B9:D9</xm:sqref>
        </x14:dataValidation>
        <x14:dataValidation type="list" allowBlank="1" showInputMessage="1" showErrorMessage="1" xr:uid="{2DC4BC07-9AC9-41B6-8BCB-AD688A2DF68E}">
          <x14:formula1>
            <xm:f>'B. Ambulance'!$A$40:$A$59</xm:f>
          </x14:formula1>
          <xm:sqref>B18:D18</xm:sqref>
        </x14:dataValidation>
        <x14:dataValidation type="list" allowBlank="1" showInputMessage="1" showErrorMessage="1" xr:uid="{AA1324FD-BE65-4A93-9FCE-C306F2902DBE}">
          <x14:formula1>
            <xm:f>'C. Brand'!$A$23:$A$34</xm:f>
          </x14:formula1>
          <xm:sqref>B19:D19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5920-CBAF-4A99-A625-376F7D668070}">
  <dimension ref="A1:S65"/>
  <sheetViews>
    <sheetView showGridLines="0" showRowColHeaders="0" tabSelected="1" showRuler="0" zoomScale="150" zoomScaleNormal="150" zoomScalePageLayoutView="175" workbookViewId="0">
      <selection sqref="A1:F1"/>
    </sheetView>
  </sheetViews>
  <sheetFormatPr defaultColWidth="9" defaultRowHeight="15" x14ac:dyDescent="0.2"/>
  <cols>
    <col min="1" max="1" width="45.7109375" style="186" customWidth="1"/>
    <col min="2" max="2" width="15.7109375" style="184" customWidth="1"/>
    <col min="3" max="3" width="0.85546875" style="184" customWidth="1"/>
    <col min="4" max="4" width="15.7109375" style="184" customWidth="1"/>
    <col min="5" max="5" width="0.85546875" style="184" customWidth="1"/>
    <col min="6" max="6" width="15.7109375" style="184" customWidth="1"/>
    <col min="7" max="7" width="2.7109375" style="184" customWidth="1"/>
    <col min="8" max="8" width="39.42578125" style="184" hidden="1" customWidth="1"/>
    <col min="9" max="9" width="24.5703125" style="184" hidden="1" customWidth="1"/>
    <col min="10" max="10" width="12.7109375" style="184" hidden="1" customWidth="1"/>
    <col min="11" max="14" width="11.42578125" style="191" hidden="1" customWidth="1"/>
    <col min="15" max="15" width="20.28515625" style="191" hidden="1" customWidth="1"/>
    <col min="16" max="16384" width="9" style="184"/>
  </cols>
  <sheetData>
    <row r="1" spans="1:19" ht="20.100000000000001" customHeight="1" x14ac:dyDescent="0.3">
      <c r="A1" s="359" t="str">
        <f>'B. Ambulance'!A1</f>
        <v>Lønoversigt for Redderoverenskomster</v>
      </c>
      <c r="B1" s="359"/>
      <c r="C1" s="359"/>
      <c r="D1" s="359"/>
      <c r="E1" s="359"/>
      <c r="F1" s="359"/>
      <c r="G1" s="206"/>
    </row>
    <row r="2" spans="1:19" ht="20.25" x14ac:dyDescent="0.3">
      <c r="A2" s="359" t="str">
        <f>'B. Ambulance'!A2</f>
        <v>mellem DEA for Falck/Responce og 3F</v>
      </c>
      <c r="B2" s="359"/>
      <c r="C2" s="359"/>
      <c r="D2" s="359"/>
      <c r="E2" s="359"/>
      <c r="F2" s="359"/>
      <c r="G2" s="206"/>
    </row>
    <row r="3" spans="1:19" ht="20.25" x14ac:dyDescent="0.3">
      <c r="A3" s="359" t="str">
        <f>'B. Ambulance'!A3</f>
        <v>vedrørende B. Ambulance</v>
      </c>
      <c r="B3" s="359"/>
      <c r="C3" s="359"/>
      <c r="D3" s="359"/>
      <c r="E3" s="359"/>
      <c r="F3" s="359"/>
      <c r="G3" s="206"/>
    </row>
    <row r="4" spans="1:19" ht="20.25" x14ac:dyDescent="0.3">
      <c r="A4" s="359" t="str">
        <f>'B. Ambulance'!$A$4</f>
        <v>1. marts 2020 til 28. februar 2023</v>
      </c>
      <c r="B4" s="361"/>
      <c r="C4" s="361"/>
      <c r="D4" s="361"/>
      <c r="E4" s="361"/>
      <c r="F4" s="361"/>
      <c r="G4" s="170"/>
    </row>
    <row r="5" spans="1:19" x14ac:dyDescent="0.2">
      <c r="A5" s="362" t="str">
        <f>'B. Ambulance'!$A$5</f>
        <v>Gældende fra begyndelsen af den lønningsuge hvori 1. marts indgår.</v>
      </c>
      <c r="B5" s="362"/>
      <c r="C5" s="362"/>
      <c r="D5" s="362"/>
      <c r="E5" s="360"/>
      <c r="F5" s="360"/>
      <c r="G5" s="207"/>
    </row>
    <row r="6" spans="1:19" ht="18" customHeight="1" x14ac:dyDescent="0.3">
      <c r="A6" s="359"/>
      <c r="B6" s="360"/>
      <c r="C6" s="360"/>
      <c r="D6" s="360"/>
      <c r="E6" s="360"/>
      <c r="F6" s="360"/>
      <c r="G6" s="207"/>
    </row>
    <row r="7" spans="1:19" ht="18" x14ac:dyDescent="0.25">
      <c r="A7" s="185" t="str">
        <f>'Stigninger interaktiv'!A7</f>
        <v>Lønoversigten gælder for:</v>
      </c>
      <c r="C7" s="186"/>
      <c r="D7" s="186"/>
      <c r="E7" s="186"/>
      <c r="F7" s="187"/>
      <c r="G7" s="187"/>
      <c r="J7" s="191"/>
      <c r="N7" s="184"/>
      <c r="O7" s="184"/>
    </row>
    <row r="8" spans="1:19" ht="15.75" x14ac:dyDescent="0.25">
      <c r="A8" s="227" t="str">
        <f>H9</f>
        <v>Faggruppe</v>
      </c>
      <c r="B8" s="350"/>
      <c r="C8" s="350"/>
      <c r="D8" s="350"/>
      <c r="E8" s="218"/>
      <c r="F8" s="218"/>
      <c r="G8" s="187"/>
      <c r="J8" s="251"/>
      <c r="K8" s="352" t="str">
        <f>Resultat!A3</f>
        <v>Grundløn, pr. måned</v>
      </c>
      <c r="L8" s="353"/>
      <c r="M8" s="353"/>
      <c r="N8" s="354"/>
      <c r="O8" s="259" t="str">
        <f>'Stigninger interaktiv'!N8</f>
        <v>Særlig opsparing</v>
      </c>
      <c r="P8" s="191"/>
      <c r="Q8" s="191"/>
    </row>
    <row r="9" spans="1:19" ht="15.75" customHeight="1" x14ac:dyDescent="0.25">
      <c r="A9" s="228" t="str">
        <f>'Stigninger interaktiv'!A9</f>
        <v>Stillingskategori</v>
      </c>
      <c r="B9" s="350"/>
      <c r="C9" s="358"/>
      <c r="D9" s="358"/>
      <c r="E9" s="230"/>
      <c r="F9" s="191"/>
      <c r="G9" s="187"/>
      <c r="H9" s="226" t="str">
        <f>'Stigninger interaktiv'!H9</f>
        <v>Faggruppe</v>
      </c>
      <c r="I9" s="236" t="str">
        <f>'Stigninger interaktiv'!I9</f>
        <v>Anciennitet</v>
      </c>
      <c r="J9" s="252" t="str">
        <f>A33</f>
        <v>Ferietillæg</v>
      </c>
      <c r="K9" s="268" t="s">
        <v>103</v>
      </c>
      <c r="L9" s="269" t="s">
        <v>100</v>
      </c>
      <c r="M9" s="269" t="s">
        <v>101</v>
      </c>
      <c r="N9" s="270" t="s">
        <v>102</v>
      </c>
      <c r="O9" s="260" t="str">
        <f>'Stigninger interaktiv'!N9</f>
        <v>29. februar 2020</v>
      </c>
      <c r="P9" s="191"/>
      <c r="Q9" s="191"/>
    </row>
    <row r="10" spans="1:19" ht="15.75" customHeight="1" x14ac:dyDescent="0.25">
      <c r="A10" s="227" t="str">
        <f>'Stigninger interaktiv'!A10</f>
        <v>Anciennitet ved:</v>
      </c>
      <c r="B10" s="355" t="str">
        <f>'Stigninger interaktiv'!B10</f>
        <v>Vælg jf. faggruppe</v>
      </c>
      <c r="C10" s="357"/>
      <c r="D10" s="357"/>
      <c r="E10" s="191"/>
      <c r="F10" s="191"/>
      <c r="H10" s="238"/>
      <c r="I10" s="233"/>
      <c r="J10" s="225"/>
      <c r="K10" s="265"/>
      <c r="L10" s="266"/>
      <c r="M10" s="266"/>
      <c r="N10" s="267"/>
      <c r="O10" s="225"/>
      <c r="P10" s="191"/>
      <c r="Q10" s="191"/>
    </row>
    <row r="11" spans="1:19" ht="15" customHeight="1" x14ac:dyDescent="0.2">
      <c r="A11" s="239" t="str">
        <f t="shared" ref="A11:A16" si="0">H11</f>
        <v>B. Ambulance</v>
      </c>
      <c r="B11" s="348"/>
      <c r="C11" s="349"/>
      <c r="D11" s="349"/>
      <c r="H11" s="223" t="str">
        <f>Resultat!A1</f>
        <v>B. Ambulance</v>
      </c>
      <c r="I11" s="234">
        <f t="shared" ref="I11:I16" si="1">B11</f>
        <v>0</v>
      </c>
      <c r="J11" s="253">
        <f>Resultat!B48</f>
        <v>2.5000000000000001E-2</v>
      </c>
      <c r="K11" s="77">
        <f>Resultat!B3</f>
        <v>24936.79</v>
      </c>
      <c r="L11" s="77">
        <f>Resultat!C3</f>
        <v>25449.85</v>
      </c>
      <c r="M11" s="77">
        <f>Resultat!D3</f>
        <v>25962.91</v>
      </c>
      <c r="N11" s="77">
        <f>Resultat!E3</f>
        <v>26467.95</v>
      </c>
      <c r="O11" s="253">
        <f>Stigninger!B51</f>
        <v>0.04</v>
      </c>
      <c r="P11" s="191"/>
      <c r="Q11" s="191"/>
    </row>
    <row r="12" spans="1:19" ht="15" customHeight="1" x14ac:dyDescent="0.2">
      <c r="A12" s="239" t="str">
        <f t="shared" si="0"/>
        <v>C. Brand</v>
      </c>
      <c r="B12" s="348"/>
      <c r="C12" s="349"/>
      <c r="D12" s="349"/>
      <c r="H12" s="223" t="str">
        <f>Resultat!A52</f>
        <v>C. Brand</v>
      </c>
      <c r="I12" s="234">
        <f t="shared" si="1"/>
        <v>0</v>
      </c>
      <c r="J12" s="253">
        <f>Resultat!B76</f>
        <v>2.5000000000000001E-2</v>
      </c>
      <c r="K12" s="77">
        <f>Resultat!B54</f>
        <v>24737.07</v>
      </c>
      <c r="L12" s="77">
        <f>Resultat!C54</f>
        <v>25250.13</v>
      </c>
      <c r="M12" s="77">
        <f>Resultat!D54</f>
        <v>25763.19</v>
      </c>
      <c r="N12" s="77">
        <f>Resultat!E54</f>
        <v>26268.23</v>
      </c>
      <c r="O12" s="253">
        <f>Stigninger!B77</f>
        <v>0.04</v>
      </c>
      <c r="P12" s="191"/>
      <c r="Q12" s="191"/>
    </row>
    <row r="13" spans="1:19" ht="15" customHeight="1" x14ac:dyDescent="0.2">
      <c r="A13" s="239" t="str">
        <f t="shared" si="0"/>
        <v>D. Liggende sygetransport</v>
      </c>
      <c r="B13" s="348"/>
      <c r="C13" s="349"/>
      <c r="D13" s="349"/>
      <c r="H13" s="223" t="str">
        <f>Resultat!A80</f>
        <v>D. Liggende sygetransport</v>
      </c>
      <c r="I13" s="234">
        <f t="shared" si="1"/>
        <v>0</v>
      </c>
      <c r="J13" s="253">
        <f>Resultat!B90</f>
        <v>0.01</v>
      </c>
      <c r="K13" s="77">
        <f>Resultat!B82</f>
        <v>24737.07</v>
      </c>
      <c r="L13" s="77">
        <f>Resultat!C82</f>
        <v>25250.13</v>
      </c>
      <c r="M13" s="77">
        <f>Resultat!D82</f>
        <v>25763.19</v>
      </c>
      <c r="N13" s="77">
        <f>Resultat!E82</f>
        <v>26268.23</v>
      </c>
      <c r="O13" s="253">
        <f>Stigninger!B89</f>
        <v>0.03</v>
      </c>
      <c r="P13" s="191"/>
      <c r="Q13" s="191"/>
    </row>
    <row r="14" spans="1:19" ht="15" customHeight="1" x14ac:dyDescent="0.2">
      <c r="A14" s="239" t="str">
        <f t="shared" si="0"/>
        <v>E. PTR (persontransport)</v>
      </c>
      <c r="B14" s="348"/>
      <c r="C14" s="349"/>
      <c r="D14" s="349"/>
      <c r="H14" s="223" t="str">
        <f>Resultat!A94</f>
        <v>E. PTR (persontransport)</v>
      </c>
      <c r="I14" s="234">
        <f t="shared" si="1"/>
        <v>0</v>
      </c>
      <c r="J14" s="253">
        <f>Resultat!B101</f>
        <v>0.01</v>
      </c>
      <c r="K14" s="77">
        <f>Resultat!B96</f>
        <v>23234.58</v>
      </c>
      <c r="L14" s="77">
        <f>Resultat!C96</f>
        <v>23747.64</v>
      </c>
      <c r="M14" s="77">
        <f>Resultat!D96</f>
        <v>24260.7</v>
      </c>
      <c r="N14" s="77">
        <f>Resultat!E96</f>
        <v>24765.74</v>
      </c>
      <c r="O14" s="253">
        <f>Stigninger!B98</f>
        <v>0.02</v>
      </c>
      <c r="P14" s="191"/>
      <c r="Q14" s="191"/>
    </row>
    <row r="15" spans="1:19" ht="15" customHeight="1" x14ac:dyDescent="0.2">
      <c r="A15" s="239" t="str">
        <f t="shared" si="0"/>
        <v>F1. Assistance - Vej-/Skadeservice</v>
      </c>
      <c r="B15" s="348"/>
      <c r="C15" s="349"/>
      <c r="D15" s="349"/>
      <c r="H15" s="223" t="str">
        <f>Resultat!A105</f>
        <v>F1. Assistance - Vej-/Skadeservice</v>
      </c>
      <c r="I15" s="234">
        <f t="shared" si="1"/>
        <v>0</v>
      </c>
      <c r="J15" s="253">
        <f>Resultat!B116</f>
        <v>0.01</v>
      </c>
      <c r="K15" s="77">
        <f>Resultat!B107</f>
        <v>24737.07</v>
      </c>
      <c r="L15" s="77">
        <f>Resultat!C107</f>
        <v>25250.13</v>
      </c>
      <c r="M15" s="77">
        <f>Resultat!D107</f>
        <v>25763.19</v>
      </c>
      <c r="N15" s="77">
        <f>Resultat!E107</f>
        <v>26268.23</v>
      </c>
      <c r="O15" s="253">
        <f>Stigninger!B111</f>
        <v>0.03</v>
      </c>
      <c r="P15" s="191"/>
      <c r="Q15" s="191"/>
    </row>
    <row r="16" spans="1:19" ht="15" customHeight="1" x14ac:dyDescent="0.2">
      <c r="A16" s="239" t="str">
        <f t="shared" si="0"/>
        <v>F2. Assistance - Montør/lager</v>
      </c>
      <c r="B16" s="348"/>
      <c r="C16" s="349"/>
      <c r="D16" s="349"/>
      <c r="H16" s="224" t="str">
        <f>Resultat!A120</f>
        <v>F2. Assistance - Montør/lager</v>
      </c>
      <c r="I16" s="235">
        <f t="shared" si="1"/>
        <v>0</v>
      </c>
      <c r="J16" s="254">
        <f>Resultat!B132</f>
        <v>0.02</v>
      </c>
      <c r="K16" s="262">
        <f>Resultat!B122</f>
        <v>25980.69</v>
      </c>
      <c r="L16" s="262">
        <f>Resultat!C122</f>
        <v>26493.75</v>
      </c>
      <c r="M16" s="262">
        <f>Resultat!D122</f>
        <v>27006.81</v>
      </c>
      <c r="N16" s="262">
        <f>Resultat!E122</f>
        <v>27511.85</v>
      </c>
      <c r="O16" s="254">
        <f>Stigninger!B125</f>
        <v>0.04</v>
      </c>
      <c r="P16" s="191"/>
      <c r="Q16" s="191"/>
      <c r="R16" s="191"/>
      <c r="S16" s="191"/>
    </row>
    <row r="17" spans="1:9" ht="15.75" customHeight="1" x14ac:dyDescent="0.25">
      <c r="A17" s="227" t="str">
        <f>'B. Ambulance'!A39</f>
        <v>Vagtordning</v>
      </c>
      <c r="B17" s="355" t="str">
        <f>B10</f>
        <v>Vælg jf. faggruppe</v>
      </c>
      <c r="C17" s="357"/>
      <c r="D17" s="357"/>
      <c r="H17" s="237" t="str">
        <f>Stigninger!A113</f>
        <v>Ansat før 1. oktober 2017 ved Falck Teknik</v>
      </c>
      <c r="I17" s="232"/>
    </row>
    <row r="18" spans="1:9" ht="15" customHeight="1" x14ac:dyDescent="0.2">
      <c r="A18" s="239" t="str">
        <f>H11</f>
        <v>B. Ambulance</v>
      </c>
      <c r="B18" s="348"/>
      <c r="C18" s="349"/>
      <c r="D18" s="349"/>
      <c r="H18" s="241"/>
      <c r="I18" s="232"/>
    </row>
    <row r="19" spans="1:9" ht="15" customHeight="1" x14ac:dyDescent="0.2">
      <c r="A19" s="239" t="str">
        <f>H12</f>
        <v>C. Brand</v>
      </c>
      <c r="B19" s="348"/>
      <c r="C19" s="349"/>
      <c r="D19" s="349"/>
      <c r="H19" s="241"/>
      <c r="I19" s="232"/>
    </row>
    <row r="20" spans="1:9" ht="15" customHeight="1" x14ac:dyDescent="0.25">
      <c r="A20" s="189"/>
      <c r="B20" s="190"/>
      <c r="C20" s="190"/>
      <c r="D20" s="190"/>
      <c r="E20" s="190"/>
      <c r="F20" s="190"/>
      <c r="G20" s="190"/>
    </row>
    <row r="21" spans="1:9" ht="15.75" customHeight="1" x14ac:dyDescent="0.25">
      <c r="A21" s="189" t="str">
        <f>'Stigninger interaktiv'!A21</f>
        <v>Månedsløn</v>
      </c>
      <c r="B21" s="85" t="str">
        <f>'B. Ambulance'!$B$11</f>
        <v>1. marts 2020</v>
      </c>
      <c r="C21" s="85"/>
      <c r="D21" s="85" t="str">
        <f>'B. Ambulance'!$D$11</f>
        <v>1. marts 2021</v>
      </c>
      <c r="E21" s="85"/>
      <c r="F21" s="85" t="str">
        <f>'B. Ambulance'!$F$11</f>
        <v>1. marts 2022</v>
      </c>
      <c r="G21" s="85"/>
      <c r="H21" s="261" t="str">
        <f>'Stigninger interaktiv'!H21</f>
        <v>29. februar 2020</v>
      </c>
    </row>
    <row r="22" spans="1:9" ht="15" customHeight="1" x14ac:dyDescent="0.2">
      <c r="A22" s="191" t="str">
        <f>Resultat!A3</f>
        <v>Grundløn, pr. måned</v>
      </c>
      <c r="B22" s="192" t="str">
        <f>IF($B$8=0,"",VLOOKUP($B$8,$H$11:$N$16,5))</f>
        <v/>
      </c>
      <c r="C22" s="193"/>
      <c r="D22" s="192" t="str">
        <f>IF($B$8=0,"",VLOOKUP($B$8,$H$11:$N$16,6))</f>
        <v/>
      </c>
      <c r="E22" s="193"/>
      <c r="F22" s="192" t="str">
        <f>IF($B$8=0,"",VLOOKUP($B$8,$H$11:$N$16,7))</f>
        <v/>
      </c>
      <c r="G22" s="192"/>
      <c r="H22" s="192" t="str">
        <f>IF($B$8=0,"",VLOOKUP(B8,H11:K16,4))</f>
        <v/>
      </c>
    </row>
    <row r="23" spans="1:9" ht="15" customHeight="1" x14ac:dyDescent="0.2">
      <c r="A23" s="191" t="str">
        <f>Resultat!A4</f>
        <v>Kvalifikationsløn</v>
      </c>
      <c r="B23" s="192" t="str">
        <f>IF($B$8=$H$14,Resultat!C97,IF(OR($B$9="",B8&lt;&gt;H11),"",VLOOKUP(B9,'B. Ambulance'!$A$14:$F$16,2)))</f>
        <v/>
      </c>
      <c r="C23" s="193"/>
      <c r="D23" s="192" t="str">
        <f>IF($B$8=$H$14,Resultat!D97,IF(OR($B$9="",B8&lt;&gt;$H$11),"",VLOOKUP(B9,'B. Ambulance'!$A$14:$F$16,4)))</f>
        <v/>
      </c>
      <c r="E23" s="193"/>
      <c r="F23" s="192" t="str">
        <f>IF($B$8=$H$14,Resultat!E97,IF(OR($B$9="",B8&lt;&gt;$H$11),"",VLOOKUP(B9,'B. Ambulance'!$A$14:$F$16,6)))</f>
        <v/>
      </c>
      <c r="G23" s="192"/>
      <c r="H23" s="192" t="str">
        <f>IF($B$8=$H$14,Stigninger!$B$93,IF(OR($B$9="",B8&lt;&gt;$H$11),"",VLOOKUP(B9,Stigninger!$A$8:$B$10,2)))</f>
        <v/>
      </c>
    </row>
    <row r="24" spans="1:9" ht="15" customHeight="1" x14ac:dyDescent="0.2">
      <c r="A24" s="191" t="str">
        <f>Resultat!A8</f>
        <v>Reddertillæg</v>
      </c>
      <c r="B24" s="192" t="str">
        <f>IF(OR($B$8=0,$B$8=$H$14,$B$8=$H$16),"",'B. Ambulance'!B18)</f>
        <v/>
      </c>
      <c r="C24" s="193"/>
      <c r="D24" s="192" t="str">
        <f>IF(OR($B$8=0,$B$8=$H$14,$B$8=$H$16),"",'B. Ambulance'!D18)</f>
        <v/>
      </c>
      <c r="E24" s="193"/>
      <c r="F24" s="192" t="str">
        <f>IF(OR($B$8=0,$B$8=$H$14,$B$8=$H$16),"",'B. Ambulance'!F18)</f>
        <v/>
      </c>
      <c r="G24" s="192"/>
      <c r="H24" s="192" t="str">
        <f>IF(OR($B$8=0,$B$8=$H$14,$B$8=$H$16),"",Resultat!B8)</f>
        <v/>
      </c>
    </row>
    <row r="25" spans="1:9" ht="15" customHeight="1" x14ac:dyDescent="0.2">
      <c r="A25" s="191" t="str">
        <f>Resultat!A9</f>
        <v>Særligt tillæg</v>
      </c>
      <c r="B25" s="192" t="str">
        <f>IF(OR($B$8=0,$B$8=$H$14,$B$8=$H$16),"",'B. Ambulance'!B19)</f>
        <v/>
      </c>
      <c r="C25" s="193"/>
      <c r="D25" s="192" t="str">
        <f>IF(OR($B$8=0,$B$8=$H$14,$B$8=$H$16),"",'B. Ambulance'!D19)</f>
        <v/>
      </c>
      <c r="E25" s="193"/>
      <c r="F25" s="192" t="str">
        <f>IF(OR($B$8=0,$B$8=$H$14,$B$8=$H$16),"",'B. Ambulance'!F19)</f>
        <v/>
      </c>
      <c r="G25" s="192"/>
      <c r="H25" s="192" t="str">
        <f>IF(OR($B$8=0,$B$8=$H$14,$B$8=$H$16),"",Resultat!B9)</f>
        <v/>
      </c>
    </row>
    <row r="26" spans="1:9" ht="15" customHeight="1" x14ac:dyDescent="0.2">
      <c r="A26" s="194" t="str">
        <f>Resultat!A10</f>
        <v>Anciennitetstillæg</v>
      </c>
      <c r="B26" s="209" t="str">
        <f>IF($B$8=0,"",IF($B$8=$H$11,IF($B$11&lt;&gt;0,VLOOKUP($B$11,Resultat!$A$11:$E$24,3),""),IF($B$8=$H$12,IF($B$12&lt;&gt;0,VLOOKUP($B$12,Resultat!$A$59:$E$61,3),""),IF($B$8=$H$13,IF($B$13&lt;&gt;0,VLOOKUP($B$13,Resultat!$A$87:$E$89,3),""),IF($B$8=$H$14,IF($B$14&lt;&gt;0,VLOOKUP($B$14,Resultat!$A$99:$E$100,3),""),IF($B$8=$H$15,IF($B$15&lt;&gt;0,VLOOKUP($B$15,Resultat!$A$113:$E$115,3),""),IF($B$8=$H$16,IF($B$16&lt;&gt;0,VLOOKUP($B$16,Resultat!$A$125:$E$131,3),""))))))))</f>
        <v/>
      </c>
      <c r="D26" s="209" t="str">
        <f>IF($B$8=0,"",IF($B$8=$H$11,IF($B$11&lt;&gt;0,VLOOKUP($B$11,Resultat!$A$11:$E$24,4),""),IF($B$8=$H$12,IF($B$12&lt;&gt;0,VLOOKUP($B$12,Resultat!$A$59:$E$61,4),""),IF($B$8=$H$13,IF($B$13&lt;&gt;0,VLOOKUP($B$13,Resultat!$A$87:$E$89,4),""),IF($B$8=$H$14,IF($B$14&lt;&gt;0,VLOOKUP($B$14,Resultat!$A$99:$E$100,4),""),IF($B$8=$H$15,IF($B$15&lt;&gt;0,VLOOKUP($B$15,Resultat!$A$113:$E$115,4),""),IF($B$8=$H$16,IF($B$16&lt;&gt;0,VLOOKUP($B$16,Resultat!$A$125:$E$131,4),""))))))))</f>
        <v/>
      </c>
      <c r="F26" s="209" t="str">
        <f>IF($B$8=0,"",IF($B$8=$H$11,IF($B$11&lt;&gt;0,VLOOKUP($B$11,Resultat!$A$11:$E$24,5),""),IF($B$8=$H$12,IF($B$12&lt;&gt;0,VLOOKUP($B$12,Resultat!$A$59:$E$61,5),""),IF($B$8=$H$13,IF($B$13&lt;&gt;0,VLOOKUP($B$13,Resultat!$A$87:$E$89,5),""),IF($B$8=$H$14,IF($B$14&lt;&gt;0,VLOOKUP($B$14,Resultat!$A$99:$E$100,5),""),IF($B$8=$H$15,IF($B$15&lt;&gt;0,VLOOKUP($B$15,Resultat!$A$113:$E$115,5),""),IF($B$8=$H$16,IF($B$16&lt;&gt;0,VLOOKUP($B$16,Resultat!$A$125:$E$131,5),""))))))))</f>
        <v/>
      </c>
      <c r="G26" s="209"/>
      <c r="H26" s="209" t="str">
        <f>IF($B$8=0,"",IF($B$8=$H$11,IF($B$11&lt;&gt;0,VLOOKUP($B$11,Resultat!$A$11:$E$24,2),""),IF($B$8=$H$12,IF($B$12&lt;&gt;0,VLOOKUP($B$12,Resultat!$A$59:$E$61,2),""),IF($B$8=$H$13,IF($B$13&lt;&gt;0,VLOOKUP($B$13,Resultat!$A$87:$E$89,2),""),IF($B$8=$H$14,IF($B$14&lt;&gt;0,VLOOKUP($B$14,Resultat!$A$99:$E$100,2),""),IF($B$8=$H$15,IF($B$15&lt;&gt;0,VLOOKUP($B$15,Resultat!$A$113:$E$115,2),""),IF($B$8=$H$16,IF($B$16&lt;&gt;0,VLOOKUP($B$16,Resultat!$A$125:$E$131,2),""))))))))</f>
        <v/>
      </c>
    </row>
    <row r="27" spans="1:9" ht="15" customHeight="1" x14ac:dyDescent="0.2">
      <c r="A27" s="194" t="str">
        <f>Resultat!A25</f>
        <v>Geneløn ekskl. helligdagstillæg</v>
      </c>
      <c r="B27" s="195" t="str">
        <f>IF($B$8=$H$11,IF($B$18&lt;&gt;0,VLOOKUP($B$18,Resultat!$A$29:$E$47,3),""),IF($B$8=$H$12,IF($B$19&lt;&gt;0,VLOOKUP($B$19,Resultat!$A$65:$E$75,3),""),""))</f>
        <v/>
      </c>
      <c r="D27" s="195" t="str">
        <f>IF($B$8=$H$11,IF($B$18&lt;&gt;0,VLOOKUP($B$18,Resultat!$A$29:$E$47,4),""),IF($B$8=$H$12,IF($B$19&lt;&gt;0,VLOOKUP($B$19,Resultat!$A$65:$E$75,4),""),""))</f>
        <v/>
      </c>
      <c r="F27" s="195" t="str">
        <f>IF($B$8=$H$11,IF($B$18&lt;&gt;0,VLOOKUP($B$18,Resultat!$A$29:$E$47,5),""),IF($B$8=$H$12,IF($B$19&lt;&gt;0,VLOOKUP($B$19,Resultat!$A$65:$E$75,5),""),""))</f>
        <v/>
      </c>
      <c r="G27" s="209"/>
      <c r="H27" s="195" t="str">
        <f>IF($B$8=$H$11,IF($B$18&lt;&gt;0,VLOOKUP($B$18,Resultat!$A$29:$E$47,2),""),IF($B$8=$H$12,IF($B$19&lt;&gt;0,VLOOKUP($B$19,Resultat!$A$65:$E$75,2),""),""))</f>
        <v/>
      </c>
    </row>
    <row r="28" spans="1:9" ht="15.75" customHeight="1" x14ac:dyDescent="0.25">
      <c r="A28" s="189" t="str">
        <f>'Stigninger interaktiv'!A28</f>
        <v>Månedsløn i alt</v>
      </c>
      <c r="B28" s="196" t="str">
        <f>IF($B$8=0,"",SUM(B22:B27))</f>
        <v/>
      </c>
      <c r="C28" s="197"/>
      <c r="D28" s="198" t="str">
        <f>IF($B$8=0,"",SUM(D22:D27))</f>
        <v/>
      </c>
      <c r="E28" s="197"/>
      <c r="F28" s="198" t="str">
        <f>IF($B$8=0,"",SUM(F22:F27))</f>
        <v/>
      </c>
      <c r="G28" s="213"/>
      <c r="H28" s="198" t="str">
        <f>IF($B$8=0,"",SUM(H22:H27))</f>
        <v/>
      </c>
    </row>
    <row r="29" spans="1:9" ht="15" customHeight="1" x14ac:dyDescent="0.2">
      <c r="A29" s="191" t="str">
        <f>Resultat!A49</f>
        <v>Særlig opsparing, inkl. feriepenge</v>
      </c>
      <c r="B29" s="192" t="str">
        <f>IF($B$8=0,"",B28*B40)</f>
        <v/>
      </c>
      <c r="C29" s="192"/>
      <c r="D29" s="192" t="str">
        <f>IF($B$8=0,"",D28*D40)</f>
        <v/>
      </c>
      <c r="E29" s="192"/>
      <c r="F29" s="192" t="str">
        <f>IF($B$8=0,"",F28*F40)</f>
        <v/>
      </c>
      <c r="G29" s="192"/>
      <c r="H29" s="192" t="str">
        <f>IF($B$8=0,"",H28*VLOOKUP(A9,H11:O16,8))</f>
        <v/>
      </c>
    </row>
    <row r="30" spans="1:9" ht="16.5" customHeight="1" thickBot="1" x14ac:dyDescent="0.3">
      <c r="A30" s="189" t="str">
        <f>'Stigninger interaktiv'!A30</f>
        <v>I alt inkl. særlig opsparing</v>
      </c>
      <c r="B30" s="199" t="str">
        <f>IF($B$8=0,"",SUM(B28:B29))</f>
        <v/>
      </c>
      <c r="C30" s="197"/>
      <c r="D30" s="199" t="str">
        <f>IF($B$8=0,"",SUM(D28:D29))</f>
        <v/>
      </c>
      <c r="E30" s="197"/>
      <c r="F30" s="198" t="str">
        <f>IF($B$8=0,"",SUM(F28:F29))</f>
        <v/>
      </c>
      <c r="G30" s="213"/>
      <c r="H30" s="198" t="str">
        <f>IF($B$8=0,"",SUM(H28:H29))</f>
        <v/>
      </c>
    </row>
    <row r="31" spans="1:9" ht="16.5" customHeight="1" thickTop="1" thickBot="1" x14ac:dyDescent="0.3">
      <c r="A31" s="189" t="str">
        <f>'Stigninger interaktiv'!A31</f>
        <v>Samlet stigning 2020-2023</v>
      </c>
      <c r="B31" s="213"/>
      <c r="C31" s="197"/>
      <c r="D31" s="213"/>
      <c r="E31" s="197"/>
      <c r="F31" s="217" t="str">
        <f>IF($B$8=0,"",F30-H30)</f>
        <v/>
      </c>
      <c r="G31" s="213"/>
      <c r="H31" s="213"/>
    </row>
    <row r="32" spans="1:9" ht="15.75" customHeight="1" thickTop="1" x14ac:dyDescent="0.25">
      <c r="A32" s="189"/>
      <c r="B32" s="213"/>
      <c r="C32" s="197"/>
      <c r="D32" s="213"/>
      <c r="E32" s="197"/>
      <c r="F32" s="213"/>
      <c r="G32" s="213"/>
      <c r="H32" s="213"/>
    </row>
    <row r="33" spans="1:8" ht="15" customHeight="1" x14ac:dyDescent="0.2">
      <c r="A33" s="191" t="str">
        <f>Resultat!A48</f>
        <v>Ferietillæg</v>
      </c>
      <c r="B33" s="209" t="str">
        <f>IF($B$8=0,"",B28*B39)</f>
        <v/>
      </c>
      <c r="C33" s="209"/>
      <c r="D33" s="209" t="str">
        <f>IF($B$8=0,"",D28*D39)</f>
        <v/>
      </c>
      <c r="E33" s="209"/>
      <c r="F33" s="209" t="str">
        <f>IF($B$8=0,"",F28*F39)</f>
        <v/>
      </c>
      <c r="G33" s="193"/>
      <c r="H33" s="209" t="str">
        <f>IF($B$8=0,"",H28*VLOOKUP(B8,H11:J16,3))</f>
        <v/>
      </c>
    </row>
    <row r="34" spans="1:8" ht="15" customHeight="1" x14ac:dyDescent="0.2">
      <c r="A34" s="191" t="str">
        <f>'Stigninger interaktiv'!A34</f>
        <v>Arbejdsgivers pensionbidrag</v>
      </c>
      <c r="B34" s="209" t="str">
        <f>IF($B$8=0,"",$B$30*'B. Ambulance'!B65)</f>
        <v/>
      </c>
      <c r="C34" s="209"/>
      <c r="D34" s="209" t="str">
        <f>IF($B$8=0,"",$D$30*'B. Ambulance'!D65)</f>
        <v/>
      </c>
      <c r="E34" s="209"/>
      <c r="F34" s="209" t="str">
        <f>IF($B$8=0,"",$F$30*'B. Ambulance'!F65)</f>
        <v/>
      </c>
      <c r="G34" s="209"/>
      <c r="H34" s="209" t="str">
        <f>IF($B$8=0,"",$H$30*Stigninger!B143)</f>
        <v/>
      </c>
    </row>
    <row r="35" spans="1:8" ht="16.5" customHeight="1" thickBot="1" x14ac:dyDescent="0.3">
      <c r="A35" s="189" t="s">
        <v>133</v>
      </c>
      <c r="B35" s="199" t="str">
        <f>IF($B$8=0,"",SUM(B30:B34))</f>
        <v/>
      </c>
      <c r="C35" s="197"/>
      <c r="D35" s="199" t="str">
        <f>IF($B$8=0,"",SUM(D30:D34))</f>
        <v/>
      </c>
      <c r="E35" s="197"/>
      <c r="F35" s="199" t="str">
        <f>IF($B$8=0,"",SUM(F30:F34)-F31)</f>
        <v/>
      </c>
      <c r="G35" s="192"/>
      <c r="H35" s="199" t="str">
        <f>IF($B$8=0,"",SUM(H30:H34))</f>
        <v/>
      </c>
    </row>
    <row r="36" spans="1:8" ht="16.5" customHeight="1" thickTop="1" thickBot="1" x14ac:dyDescent="0.3">
      <c r="A36" s="189" t="str">
        <f>A31</f>
        <v>Samlet stigning 2020-2023</v>
      </c>
      <c r="B36" s="213"/>
      <c r="C36" s="197"/>
      <c r="D36" s="213"/>
      <c r="E36" s="197"/>
      <c r="F36" s="217" t="str">
        <f>IF($B$8=0,"",F35-H35)</f>
        <v/>
      </c>
      <c r="G36" s="192"/>
    </row>
    <row r="37" spans="1:8" ht="15" customHeight="1" thickTop="1" x14ac:dyDescent="0.2">
      <c r="A37" s="210"/>
      <c r="B37" s="192"/>
      <c r="C37" s="211"/>
      <c r="D37" s="192"/>
      <c r="E37" s="211"/>
      <c r="F37" s="192"/>
      <c r="G37" s="192"/>
    </row>
    <row r="38" spans="1:8" ht="15.75" customHeight="1" x14ac:dyDescent="0.25">
      <c r="A38" s="210"/>
      <c r="B38" s="85" t="str">
        <f>'B. Ambulance'!$B$11</f>
        <v>1. marts 2020</v>
      </c>
      <c r="C38" s="85"/>
      <c r="D38" s="85" t="str">
        <f>'B. Ambulance'!$D$11</f>
        <v>1. marts 2021</v>
      </c>
      <c r="E38" s="85"/>
      <c r="F38" s="85" t="str">
        <f>'B. Ambulance'!$F$11</f>
        <v>1. marts 2022</v>
      </c>
      <c r="G38" s="192"/>
    </row>
    <row r="39" spans="1:8" ht="15.75" customHeight="1" x14ac:dyDescent="0.25">
      <c r="A39" s="189" t="str">
        <f>Resultat!A48</f>
        <v>Ferietillæg</v>
      </c>
      <c r="B39" s="201" t="str">
        <f>IF($B$8=0,"",VLOOKUP($B$8,$H$11:$J$16,3))</f>
        <v/>
      </c>
      <c r="C39" s="203"/>
      <c r="D39" s="201" t="str">
        <f>IF($B$8=0,"",VLOOKUP($B$8,$H$11:$J$16,3))</f>
        <v/>
      </c>
      <c r="E39" s="203"/>
      <c r="F39" s="201" t="str">
        <f>IF($B$8=0,"",VLOOKUP($B$8,$H$11:$J$16,3))</f>
        <v/>
      </c>
      <c r="G39" s="192"/>
    </row>
    <row r="40" spans="1:8" ht="15.75" customHeight="1" x14ac:dyDescent="0.25">
      <c r="A40" s="189" t="str">
        <f>Resultat!A49</f>
        <v>Særlig opsparing, inkl. feriepenge</v>
      </c>
      <c r="B40" s="212" t="str">
        <f>IF($B$8=0,"",Resultat!C49)</f>
        <v/>
      </c>
      <c r="C40" s="212"/>
      <c r="D40" s="212" t="str">
        <f>IF($B$8=0,"",Resultat!D49)</f>
        <v/>
      </c>
      <c r="E40" s="212"/>
      <c r="F40" s="212" t="str">
        <f>IF($B$8=0,"",Resultat!E49)</f>
        <v/>
      </c>
      <c r="G40" s="85"/>
    </row>
    <row r="41" spans="1:8" ht="15" customHeight="1" x14ac:dyDescent="0.2">
      <c r="A41" s="191"/>
      <c r="B41" s="201"/>
      <c r="D41" s="201"/>
      <c r="F41" s="201"/>
      <c r="G41" s="201"/>
    </row>
    <row r="42" spans="1:8" ht="15.75" customHeight="1" x14ac:dyDescent="0.25">
      <c r="A42" s="189" t="str">
        <f>Resultat!A152</f>
        <v>Pension</v>
      </c>
      <c r="B42" s="190"/>
      <c r="D42" s="190"/>
      <c r="E42" s="200"/>
      <c r="F42" s="190"/>
      <c r="G42" s="212"/>
    </row>
    <row r="43" spans="1:8" ht="15" customHeight="1" x14ac:dyDescent="0.2">
      <c r="A43" s="191" t="str">
        <f>Resultat!A153</f>
        <v>Arbejdsgivers bidrag</v>
      </c>
      <c r="B43" s="201" t="str">
        <f>IF($B$8=0,"",Resultat!C153)</f>
        <v/>
      </c>
      <c r="C43" s="201"/>
      <c r="D43" s="201" t="str">
        <f>IF($B$8=0,"",Resultat!D153)</f>
        <v/>
      </c>
      <c r="E43" s="201"/>
      <c r="F43" s="201" t="str">
        <f>IF($B$8=0,"",Resultat!E153)</f>
        <v/>
      </c>
      <c r="G43" s="201"/>
    </row>
    <row r="44" spans="1:8" ht="15" customHeight="1" x14ac:dyDescent="0.25">
      <c r="A44" s="191" t="str">
        <f>Resultat!A154</f>
        <v>Lønmodtagers bidrag</v>
      </c>
      <c r="B44" s="201" t="str">
        <f>IF($B$8=0,"",Resultat!C154)</f>
        <v/>
      </c>
      <c r="C44" s="201"/>
      <c r="D44" s="201" t="str">
        <f>IF($B$8=0,"",Resultat!D154)</f>
        <v/>
      </c>
      <c r="E44" s="201"/>
      <c r="F44" s="201" t="str">
        <f>IF($B$8=0,"",Resultat!E154)</f>
        <v/>
      </c>
      <c r="G44" s="190"/>
    </row>
    <row r="45" spans="1:8" ht="16.5" customHeight="1" thickBot="1" x14ac:dyDescent="0.3">
      <c r="A45" s="189" t="str">
        <f>Resultat!A155</f>
        <v>Pensionsbidrag i alt</v>
      </c>
      <c r="B45" s="204" t="str">
        <f>IF($B$8=0,"",SUM(B43:B44))</f>
        <v/>
      </c>
      <c r="C45" s="205"/>
      <c r="D45" s="204" t="str">
        <f>IF($B$8=0,"",SUM(D43:D44))</f>
        <v/>
      </c>
      <c r="E45" s="205"/>
      <c r="F45" s="204" t="str">
        <f>IF($B$8=0,"",SUM(F43:F44))</f>
        <v/>
      </c>
      <c r="G45" s="201"/>
    </row>
    <row r="46" spans="1:8" ht="15.75" customHeight="1" thickTop="1" x14ac:dyDescent="0.2">
      <c r="A46" s="173"/>
      <c r="B46" s="71"/>
      <c r="C46" s="71"/>
      <c r="D46" s="71"/>
      <c r="E46" s="71"/>
      <c r="F46" s="71"/>
      <c r="G46" s="201"/>
    </row>
    <row r="47" spans="1:8" ht="15.75" customHeight="1" x14ac:dyDescent="0.25">
      <c r="A47" s="69" t="str">
        <f>'B. Ambulance'!A69</f>
        <v>Genetillæg pr. time</v>
      </c>
      <c r="B47" s="85" t="str">
        <f>'B. Ambulance'!$B$11</f>
        <v>1. marts 2020</v>
      </c>
      <c r="C47" s="85"/>
      <c r="D47" s="85" t="str">
        <f>'B. Ambulance'!$D$11</f>
        <v>1. marts 2021</v>
      </c>
      <c r="E47" s="85"/>
      <c r="F47" s="85" t="str">
        <f>'B. Ambulance'!$F$11</f>
        <v>1. marts 2022</v>
      </c>
      <c r="G47" s="214"/>
    </row>
    <row r="48" spans="1:8" ht="15.75" customHeight="1" x14ac:dyDescent="0.25">
      <c r="A48" s="69" t="str">
        <f>'B. Ambulance'!A70</f>
        <v>Hverdage</v>
      </c>
      <c r="B48" s="71"/>
      <c r="C48" s="71"/>
      <c r="D48" s="71"/>
      <c r="E48" s="71"/>
      <c r="F48" s="71"/>
    </row>
    <row r="49" spans="1:6" ht="15" customHeight="1" x14ac:dyDescent="0.2">
      <c r="A49" s="67" t="str">
        <f>'B. Ambulance'!A71</f>
        <v>Dag – kl. 07.00 til kl. 18.00</v>
      </c>
      <c r="B49" s="71" t="str">
        <f>IF($B$8=0,"",Resultat!C146)</f>
        <v/>
      </c>
      <c r="C49" s="71"/>
      <c r="D49" s="71" t="str">
        <f>IF($B$8=0,"",Resultat!D146)</f>
        <v/>
      </c>
      <c r="E49" s="71"/>
      <c r="F49" s="71" t="str">
        <f>IF($B$8=0,"",Resultat!E146)</f>
        <v/>
      </c>
    </row>
    <row r="50" spans="1:6" ht="15" customHeight="1" x14ac:dyDescent="0.2">
      <c r="A50" s="67" t="str">
        <f>'B. Ambulance'!A72</f>
        <v>Aften – kl. 18.00 til kl. 24.00</v>
      </c>
      <c r="B50" s="71" t="str">
        <f>IF($B$8=0,"",Resultat!C147)</f>
        <v/>
      </c>
      <c r="C50" s="71"/>
      <c r="D50" s="71" t="str">
        <f>IF($B$8=0,"",Resultat!D147)</f>
        <v/>
      </c>
      <c r="E50" s="71"/>
      <c r="F50" s="71" t="str">
        <f>IF($B$8=0,"",Resultat!E147)</f>
        <v/>
      </c>
    </row>
    <row r="51" spans="1:6" ht="15" customHeight="1" x14ac:dyDescent="0.2">
      <c r="A51" s="67" t="str">
        <f>'B. Ambulance'!A73</f>
        <v>Nat – kl. 24.00 til kl. 07.00</v>
      </c>
      <c r="B51" s="71" t="str">
        <f>IF($B$8=0,"",Resultat!C148)</f>
        <v/>
      </c>
      <c r="C51" s="71"/>
      <c r="D51" s="71" t="str">
        <f>IF($B$8=0,"",Resultat!D148)</f>
        <v/>
      </c>
      <c r="E51" s="71"/>
      <c r="F51" s="71" t="str">
        <f>IF($B$8=0,"",Resultat!E148)</f>
        <v/>
      </c>
    </row>
    <row r="52" spans="1:6" ht="15.75" customHeight="1" x14ac:dyDescent="0.25">
      <c r="A52" s="69" t="str">
        <f>'B. Ambulance'!A74</f>
        <v>Weekend</v>
      </c>
      <c r="B52" s="71"/>
      <c r="C52" s="71"/>
      <c r="D52" s="71"/>
      <c r="E52" s="71"/>
      <c r="F52" s="71"/>
    </row>
    <row r="53" spans="1:6" ht="15" customHeight="1" x14ac:dyDescent="0.2">
      <c r="A53" s="67" t="str">
        <f>'B. Ambulance'!A75</f>
        <v>Lørdag kl. 07.00 til mandag kl. 07.00</v>
      </c>
      <c r="B53" s="71" t="str">
        <f>IF($B$8=0,"",Resultat!C150)</f>
        <v/>
      </c>
      <c r="C53" s="71"/>
      <c r="D53" s="71" t="str">
        <f>IF($B$8=0,"",Resultat!D150)</f>
        <v/>
      </c>
      <c r="E53" s="71"/>
      <c r="F53" s="71" t="str">
        <f>IF($B$8=0,"",Resultat!E150)</f>
        <v/>
      </c>
    </row>
    <row r="54" spans="1:6" ht="15" customHeight="1" x14ac:dyDescent="0.2">
      <c r="A54" s="67" t="str">
        <f>'B. Ambulance'!A76</f>
        <v>Skæve helligdage og øvrige helligdage</v>
      </c>
      <c r="B54" s="71" t="str">
        <f>IF($B$8=0,"",Resultat!C151)</f>
        <v/>
      </c>
      <c r="C54" s="71"/>
      <c r="D54" s="71" t="str">
        <f>IF($B$8=0,"",Resultat!D151)</f>
        <v/>
      </c>
      <c r="E54" s="71"/>
      <c r="F54" s="71" t="str">
        <f>IF($B$8=0,"",Resultat!E151)</f>
        <v/>
      </c>
    </row>
    <row r="55" spans="1:6" ht="15" customHeight="1" x14ac:dyDescent="0.2">
      <c r="A55" s="184"/>
      <c r="B55" s="193"/>
      <c r="C55" s="193"/>
      <c r="D55" s="193"/>
      <c r="E55" s="193"/>
      <c r="F55" s="193"/>
    </row>
    <row r="56" spans="1:6" ht="15.75" customHeight="1" x14ac:dyDescent="0.25">
      <c r="A56" s="189" t="str">
        <f>Resultat!A138</f>
        <v>Øvrige særlige tillæg</v>
      </c>
      <c r="B56" s="85" t="str">
        <f>IF(OR($B$8=$H$11,$B$8=$H$12),'B. Ambulance'!$B$11,"")</f>
        <v/>
      </c>
      <c r="C56" s="85"/>
      <c r="D56" s="85" t="str">
        <f>IF(OR($B$8=$H$11,$B$8=$H$12),'B. Ambulance'!$D$11,"")</f>
        <v/>
      </c>
      <c r="E56" s="85"/>
      <c r="F56" s="85" t="str">
        <f>IF(OR($B$8=$H$11,$B$8=$H$12),'B. Ambulance'!$F$11,"")</f>
        <v/>
      </c>
    </row>
    <row r="57" spans="1:6" ht="30" x14ac:dyDescent="0.2">
      <c r="A57" s="210" t="str">
        <f>Resultat!A139</f>
        <v>Minuttillæg til døgnvagter med minutter og områdereddere på fast døgnvagt</v>
      </c>
      <c r="B57" s="192" t="str">
        <f>IF(OR($B$8=$H$11,$B$8=$H$12),'B. Ambulance'!B79,"")</f>
        <v/>
      </c>
      <c r="C57" s="211"/>
      <c r="D57" s="192" t="str">
        <f>IF(OR($B$8=$H$11,$B$8=$H$12),'B. Ambulance'!D79,"")</f>
        <v/>
      </c>
      <c r="E57" s="211"/>
      <c r="F57" s="192" t="str">
        <f>IF(OR($B$8=$H$11,$B$8=$H$12),'B. Ambulance'!F79,"")</f>
        <v/>
      </c>
    </row>
    <row r="58" spans="1:6" x14ac:dyDescent="0.2">
      <c r="A58" s="210"/>
      <c r="B58" s="192"/>
      <c r="C58" s="211"/>
      <c r="D58" s="192"/>
      <c r="E58" s="211"/>
      <c r="F58" s="192"/>
    </row>
    <row r="59" spans="1:6" ht="45" customHeight="1" x14ac:dyDescent="0.2">
      <c r="A59" s="210" t="str">
        <f>Resultat!A140</f>
        <v>Minuttillæg pr. præsteret døgnvagt til ordinære områdereddere og stationsafløsere på døgnvagt</v>
      </c>
      <c r="B59" s="192" t="str">
        <f>IF(OR($B$8=$H$11,$B$8=$H$12),'B. Ambulance'!B80,"")</f>
        <v/>
      </c>
      <c r="C59" s="211"/>
      <c r="D59" s="192" t="str">
        <f>IF(OR($B$8=$H$11,$B$8=$H$12),'B. Ambulance'!D80,"")</f>
        <v/>
      </c>
      <c r="E59" s="211"/>
      <c r="F59" s="192" t="str">
        <f>IF(OR($B$8=$H$11,$B$8=$H$12),'B. Ambulance'!F80,"")</f>
        <v/>
      </c>
    </row>
    <row r="60" spans="1:6" x14ac:dyDescent="0.2">
      <c r="A60" s="210"/>
      <c r="B60" s="192"/>
      <c r="C60" s="211"/>
      <c r="D60" s="192"/>
      <c r="E60" s="211"/>
      <c r="F60" s="192"/>
    </row>
    <row r="61" spans="1:6" ht="45" customHeight="1" x14ac:dyDescent="0.2">
      <c r="A61" s="210" t="str">
        <f>Resultat!A141</f>
        <v>Døgnvagtstillæg pr. præsteret døgnvagt til ordinære områdereddere og stationsafløsere på døgnvagt</v>
      </c>
      <c r="B61" s="192" t="str">
        <f>IF(OR($B$8=$H$11,$B$8=$H$12),'B. Ambulance'!B81,"")</f>
        <v/>
      </c>
      <c r="C61" s="211"/>
      <c r="D61" s="192" t="str">
        <f>IF(OR($B$8=$H$11,$B$8=$H$12),'B. Ambulance'!D81,"")</f>
        <v/>
      </c>
      <c r="E61" s="211"/>
      <c r="F61" s="192" t="str">
        <f>IF(OR($B$8=$H$11,$B$8=$H$12),'B. Ambulance'!F81,"")</f>
        <v/>
      </c>
    </row>
    <row r="62" spans="1:6" x14ac:dyDescent="0.2">
      <c r="A62" s="210"/>
      <c r="B62" s="192"/>
      <c r="C62" s="211"/>
      <c r="D62" s="192"/>
      <c r="E62" s="211"/>
      <c r="F62" s="192"/>
    </row>
    <row r="63" spans="1:6" ht="15" customHeight="1" x14ac:dyDescent="0.2">
      <c r="A63" s="210" t="str">
        <f>Resultat!A142</f>
        <v>Forskydningstillæg</v>
      </c>
      <c r="B63" s="192" t="str">
        <f>IF(OR($B$8=$H$11,$B$8=$H$12),'B. Ambulance'!B82,"")</f>
        <v/>
      </c>
      <c r="C63" s="211"/>
      <c r="D63" s="192" t="str">
        <f>IF(OR($B$8=$H$11,$B$8=$H$12),'B. Ambulance'!D82,"")</f>
        <v/>
      </c>
      <c r="E63" s="211"/>
      <c r="F63" s="192" t="str">
        <f>IF(OR($B$8=$H$11,$B$8=$H$12),'B. Ambulance'!F82,"")</f>
        <v/>
      </c>
    </row>
    <row r="64" spans="1:6" x14ac:dyDescent="0.2">
      <c r="A64" s="210"/>
      <c r="B64" s="192"/>
      <c r="C64" s="211"/>
      <c r="D64" s="192"/>
      <c r="E64" s="211"/>
      <c r="F64" s="192"/>
    </row>
    <row r="65" spans="1:6" ht="30" x14ac:dyDescent="0.2">
      <c r="A65" s="210" t="str">
        <f>Resultat!A143</f>
        <v>Områdereddertillæg til ordinære områdereddere og stationsafløsere</v>
      </c>
      <c r="B65" s="192" t="str">
        <f>IF(OR($B$8=$H$11,$B$8=$H$12),'B. Ambulance'!B83,"")</f>
        <v/>
      </c>
      <c r="C65" s="211"/>
      <c r="D65" s="192" t="str">
        <f>IF(OR($B$8=$H$11,$B$8=$H$12),'B. Ambulance'!D83,"")</f>
        <v/>
      </c>
      <c r="E65" s="211"/>
      <c r="F65" s="192" t="str">
        <f>IF(OR($B$8=$H$11,$B$8=$H$12),'B. Ambulance'!F83,"")</f>
        <v/>
      </c>
    </row>
  </sheetData>
  <sheetProtection algorithmName="SHA-512" hashValue="+hw0/W9Sdvd6ZkElziYznmWy1/TI1FUkoGstMaks+70q0A6ecjm7E41F1l9mUSrx3dWjCgYTUSBlPiG46RzPvQ==" saltValue="Pr437RHI3vNn035GqezcpQ==" spinCount="100000" sheet="1" objects="1" scenarios="1"/>
  <mergeCells count="19">
    <mergeCell ref="A4:F4"/>
    <mergeCell ref="A1:F1"/>
    <mergeCell ref="A2:F2"/>
    <mergeCell ref="A3:F3"/>
    <mergeCell ref="A5:F5"/>
    <mergeCell ref="B10:D10"/>
    <mergeCell ref="A6:F6"/>
    <mergeCell ref="B9:D9"/>
    <mergeCell ref="B8:D8"/>
    <mergeCell ref="K8:N8"/>
    <mergeCell ref="B18:D18"/>
    <mergeCell ref="B19:D19"/>
    <mergeCell ref="B11:D11"/>
    <mergeCell ref="B12:D12"/>
    <mergeCell ref="B13:D13"/>
    <mergeCell ref="B14:D14"/>
    <mergeCell ref="B15:D15"/>
    <mergeCell ref="B17:D17"/>
    <mergeCell ref="B16:D16"/>
  </mergeCells>
  <dataValidations count="2">
    <dataValidation type="list" allowBlank="1" showInputMessage="1" showErrorMessage="1" errorTitle="Fejl" error="Der skal vælges fra liste" sqref="G7:G16 F7 E9:E10" xr:uid="{6A273D32-CEC4-4AD9-AD3F-829ACE206AEB}">
      <formula1>#REF!</formula1>
    </dataValidation>
    <dataValidation type="list" allowBlank="1" showInputMessage="1" showErrorMessage="1" sqref="B8 E8:F8" xr:uid="{ADA85A70-8D5F-44E3-B8B4-B7B6D60F3F8A}">
      <formula1>$H$10:$H$16</formula1>
    </dataValidation>
  </dataValidations>
  <printOptions horizontalCentered="1"/>
  <pageMargins left="0.59055118110236227" right="0.39370078740157483" top="0.59055118110236227" bottom="0.19685039370078741" header="0.59055118110236227" footer="0"/>
  <pageSetup paperSize="9" orientation="portrait" r:id="rId1"/>
  <headerFooter alignWithMargins="0">
    <oddHeader xml:space="preserve">&amp;R&amp;"Arial,Fed"&amp;16
</oddHeader>
  </headerFooter>
  <ignoredErrors>
    <ignoredError sqref="G33:H33 B33:F33 E34 C34 G3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Fejl" error="Der skal vælges fra liste" xr:uid="{778C0F41-C0E8-43F3-A171-1977AC8FAD28}">
          <x14:formula1>
            <xm:f>'C. Brand'!$A$16:$A$19</xm:f>
          </x14:formula1>
          <xm:sqref>B12</xm:sqref>
        </x14:dataValidation>
        <x14:dataValidation type="list" allowBlank="1" showInputMessage="1" showErrorMessage="1" errorTitle="Fejl" error="Der skal vælges fra liste" xr:uid="{6751D146-114A-40B8-8A11-69197BD84C11}">
          <x14:formula1>
            <xm:f>'D. Liggende sygetransport'!$A$16:$A$19</xm:f>
          </x14:formula1>
          <xm:sqref>B13</xm:sqref>
        </x14:dataValidation>
        <x14:dataValidation type="list" allowBlank="1" showInputMessage="1" showErrorMessage="1" errorTitle="Fejl" error="Der skal vælges fra liste" xr:uid="{EF71B7AC-0793-4002-97AB-1AD501DE2036}">
          <x14:formula1>
            <xm:f>'E. PTR (persontransport)'!$A$14:$A$16</xm:f>
          </x14:formula1>
          <xm:sqref>B14</xm:sqref>
        </x14:dataValidation>
        <x14:dataValidation type="list" allowBlank="1" showInputMessage="1" showErrorMessage="1" errorTitle="Fejl" error="Der skal vælges fra liste" xr:uid="{02AAB85F-7B66-494B-B05A-6C5F53E75866}">
          <x14:formula1>
            <xm:f>'F. Assistance 1'!$A$22:$A$25</xm:f>
          </x14:formula1>
          <xm:sqref>B15</xm:sqref>
        </x14:dataValidation>
        <x14:dataValidation type="list" allowBlank="1" showInputMessage="1" showErrorMessage="1" errorTitle="Fejl" error="Der skal vælges fra liste" xr:uid="{43FBA6BE-CC33-44A7-A89C-55A7DB43B81E}">
          <x14:formula1>
            <xm:f>'F. Assistance 2'!$A$15:$A$22</xm:f>
          </x14:formula1>
          <xm:sqref>B16</xm:sqref>
        </x14:dataValidation>
        <x14:dataValidation type="list" allowBlank="1" showInputMessage="1" showErrorMessage="1" xr:uid="{1C2B94BF-6308-42F7-9017-692E306B9D18}">
          <x14:formula1>
            <xm:f>'B. Ambulance'!$A$14:$A$17</xm:f>
          </x14:formula1>
          <xm:sqref>B9:D9</xm:sqref>
        </x14:dataValidation>
        <x14:dataValidation type="list" allowBlank="1" showInputMessage="1" showErrorMessage="1" errorTitle="Fejl" error="Der skal vælges fra liste" xr:uid="{AED7DC6A-24E1-43DC-8E31-F42514FB8AE4}">
          <x14:formula1>
            <xm:f>'B. Ambulance'!$A$22:$A$36</xm:f>
          </x14:formula1>
          <xm:sqref>B11:D11</xm:sqref>
        </x14:dataValidation>
        <x14:dataValidation type="list" allowBlank="1" showInputMessage="1" showErrorMessage="1" xr:uid="{26442D3D-3EC9-41FB-8108-6DCC7B77D715}">
          <x14:formula1>
            <xm:f>'B. Ambulance'!$A$40:$A$59</xm:f>
          </x14:formula1>
          <xm:sqref>B18:D18</xm:sqref>
        </x14:dataValidation>
        <x14:dataValidation type="list" allowBlank="1" showInputMessage="1" showErrorMessage="1" xr:uid="{EF93768E-487E-4605-AF68-25475BFB3731}">
          <x14:formula1>
            <xm:f>'C. Brand'!$A$23:$A$34</xm:f>
          </x14:formula1>
          <xm:sqref>B19:D19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66"/>
  <sheetViews>
    <sheetView showGridLines="0" showRowColHeaders="0" zoomScale="216" zoomScaleNormal="216" workbookViewId="0">
      <selection sqref="A1:F1"/>
    </sheetView>
  </sheetViews>
  <sheetFormatPr defaultRowHeight="12.75" x14ac:dyDescent="0.2"/>
  <cols>
    <col min="1" max="1" width="2.7109375" customWidth="1"/>
    <col min="2" max="2" width="42.140625" style="56" customWidth="1"/>
    <col min="3" max="3" width="11.42578125" customWidth="1"/>
    <col min="4" max="4" width="2.7109375" customWidth="1"/>
    <col min="5" max="5" width="11.42578125" customWidth="1"/>
    <col min="6" max="6" width="2.7109375" customWidth="1"/>
    <col min="7" max="7" width="11.42578125" customWidth="1"/>
    <col min="8" max="8" width="2.42578125" customWidth="1"/>
    <col min="9" max="9" width="2.7109375" customWidth="1"/>
    <col min="10" max="10" width="31.140625" hidden="1" customWidth="1"/>
    <col min="11" max="11" width="20.28515625" hidden="1" customWidth="1"/>
    <col min="12" max="15" width="9.28515625" hidden="1" customWidth="1"/>
    <col min="16" max="16" width="16.7109375" hidden="1" customWidth="1"/>
  </cols>
  <sheetData>
    <row r="1" spans="1:18" ht="18" x14ac:dyDescent="0.25">
      <c r="A1" s="365" t="str">
        <f>'Stigninger interaktiv'!A1:F1</f>
        <v>Lønstigninger for Redderoverenskomster</v>
      </c>
      <c r="B1" s="365"/>
      <c r="C1" s="365"/>
      <c r="D1" s="365"/>
      <c r="E1" s="365"/>
      <c r="F1" s="365"/>
      <c r="G1" s="365"/>
      <c r="H1" s="366"/>
      <c r="I1" s="86"/>
    </row>
    <row r="2" spans="1:18" ht="18" x14ac:dyDescent="0.25">
      <c r="A2" s="365" t="str">
        <f>'Stigninger interaktiv'!A2</f>
        <v>mellem DEA for Falck/Responce og 3F</v>
      </c>
      <c r="B2" s="367"/>
      <c r="C2" s="367"/>
      <c r="D2" s="367"/>
      <c r="E2" s="367"/>
      <c r="F2" s="367"/>
      <c r="G2" s="367"/>
      <c r="H2" s="367"/>
      <c r="I2" s="101"/>
      <c r="J2" s="58"/>
    </row>
    <row r="3" spans="1:18" ht="18" x14ac:dyDescent="0.25">
      <c r="A3" s="365" t="str">
        <f>'Stigninger interaktiv'!A3</f>
        <v>vedrørende B. Ambulance</v>
      </c>
      <c r="B3" s="367"/>
      <c r="C3" s="367"/>
      <c r="D3" s="367"/>
      <c r="E3" s="367"/>
      <c r="F3" s="367"/>
      <c r="G3" s="367"/>
      <c r="H3" s="367"/>
      <c r="I3" s="86"/>
      <c r="J3" s="57"/>
    </row>
    <row r="4" spans="1:18" ht="18" x14ac:dyDescent="0.25">
      <c r="A4" s="365" t="str">
        <f>'Stigninger interaktiv'!A4</f>
        <v>1. marts 2020 til 28. februar 2023</v>
      </c>
      <c r="B4" s="365"/>
      <c r="C4" s="365"/>
      <c r="D4" s="365"/>
      <c r="E4" s="365"/>
      <c r="F4" s="365"/>
      <c r="G4" s="365"/>
      <c r="H4" s="366"/>
      <c r="J4" s="57"/>
    </row>
    <row r="5" spans="1:18" ht="15" x14ac:dyDescent="0.25">
      <c r="A5" s="363" t="str">
        <f>'Stigninger interaktiv'!A5</f>
        <v>Gældende fra begyndelsen af den lønningsuge hvori 1. marts indgår.</v>
      </c>
      <c r="B5" s="364"/>
      <c r="C5" s="364"/>
      <c r="D5" s="364"/>
      <c r="E5" s="364"/>
      <c r="F5" s="364"/>
      <c r="G5" s="364"/>
      <c r="H5" s="364"/>
      <c r="J5" s="57"/>
    </row>
    <row r="6" spans="1:18" ht="14.1" customHeight="1" x14ac:dyDescent="0.25">
      <c r="A6" s="222"/>
      <c r="B6" s="220"/>
      <c r="C6" s="220"/>
      <c r="D6" s="220"/>
      <c r="E6" s="220"/>
      <c r="F6" s="220"/>
      <c r="G6" s="220"/>
      <c r="H6" s="220"/>
      <c r="J6" s="57"/>
      <c r="P6" s="54"/>
      <c r="Q6" s="54"/>
      <c r="R6" s="54"/>
    </row>
    <row r="7" spans="1:18" ht="15" x14ac:dyDescent="0.25">
      <c r="A7" s="222"/>
      <c r="B7" s="60" t="str">
        <f>'Stigninger interaktiv'!A7</f>
        <v>Lønoversigten gælder for:</v>
      </c>
      <c r="C7" s="220"/>
      <c r="D7" s="220"/>
      <c r="E7" s="220"/>
      <c r="F7" s="220"/>
      <c r="G7" s="220"/>
      <c r="H7" s="220"/>
      <c r="J7" s="57"/>
      <c r="P7" s="54"/>
      <c r="Q7" s="54"/>
      <c r="R7" s="54"/>
    </row>
    <row r="8" spans="1:18" ht="14.45" customHeight="1" x14ac:dyDescent="0.25">
      <c r="A8" s="222"/>
      <c r="B8" s="60" t="str">
        <f>J9</f>
        <v>Faggruppe</v>
      </c>
      <c r="C8" s="375"/>
      <c r="D8" s="376"/>
      <c r="E8" s="376"/>
      <c r="F8" s="220"/>
      <c r="G8" s="220"/>
      <c r="H8" s="220"/>
      <c r="J8" s="291"/>
      <c r="K8" s="91"/>
      <c r="L8" s="368" t="str">
        <f>Resultat!A3</f>
        <v>Grundløn, pr. måned</v>
      </c>
      <c r="M8" s="369"/>
      <c r="N8" s="369"/>
      <c r="O8" s="370"/>
      <c r="P8" s="271" t="s">
        <v>123</v>
      </c>
      <c r="Q8" s="54"/>
      <c r="R8" s="54"/>
    </row>
    <row r="9" spans="1:18" ht="15" x14ac:dyDescent="0.25">
      <c r="A9" s="222"/>
      <c r="B9" s="60" t="str">
        <f>'Stigninger interaktiv'!A9</f>
        <v>Stillingskategori</v>
      </c>
      <c r="C9" s="379"/>
      <c r="D9" s="380"/>
      <c r="E9" s="380"/>
      <c r="F9" s="220"/>
      <c r="G9" s="220"/>
      <c r="H9" s="220"/>
      <c r="J9" s="292" t="s">
        <v>99</v>
      </c>
      <c r="K9" s="293" t="s">
        <v>4</v>
      </c>
      <c r="L9" s="294" t="s">
        <v>103</v>
      </c>
      <c r="M9" s="295" t="s">
        <v>100</v>
      </c>
      <c r="N9" s="295" t="s">
        <v>101</v>
      </c>
      <c r="O9" s="295" t="s">
        <v>102</v>
      </c>
      <c r="P9" s="296" t="s">
        <v>94</v>
      </c>
    </row>
    <row r="10" spans="1:18" ht="15" x14ac:dyDescent="0.25">
      <c r="A10" s="222"/>
      <c r="B10" s="60" t="str">
        <f>'Stigninger interaktiv'!A10</f>
        <v>Anciennitet ved:</v>
      </c>
      <c r="C10" s="373" t="str">
        <f>'Stigninger interaktiv'!B10</f>
        <v>Vælg jf. faggruppe</v>
      </c>
      <c r="D10" s="374"/>
      <c r="E10" s="374"/>
      <c r="F10" s="220"/>
      <c r="G10" s="220"/>
      <c r="H10" s="220"/>
      <c r="J10" s="323"/>
      <c r="K10" s="53"/>
      <c r="L10" s="288"/>
      <c r="M10" s="289"/>
      <c r="N10" s="289"/>
      <c r="O10" s="289"/>
      <c r="P10" s="290"/>
    </row>
    <row r="11" spans="1:18" ht="14.1" customHeight="1" x14ac:dyDescent="0.25">
      <c r="A11" s="222"/>
      <c r="B11" s="97" t="str">
        <f>J11</f>
        <v>B. Ambulance</v>
      </c>
      <c r="C11" s="371"/>
      <c r="D11" s="372"/>
      <c r="E11" s="372"/>
      <c r="F11" s="220"/>
      <c r="G11" s="220"/>
      <c r="H11" s="220"/>
      <c r="J11" s="324" t="str">
        <f>Resultat!A1</f>
        <v>B. Ambulance</v>
      </c>
      <c r="K11" s="90">
        <f>C11</f>
        <v>0</v>
      </c>
      <c r="L11" s="286">
        <f>Resultat!B3</f>
        <v>24936.79</v>
      </c>
      <c r="M11" s="272">
        <f>Resultat!C3</f>
        <v>25449.85</v>
      </c>
      <c r="N11" s="272">
        <f>Resultat!D3</f>
        <v>25962.91</v>
      </c>
      <c r="O11" s="272">
        <f>Resultat!E3</f>
        <v>26467.95</v>
      </c>
      <c r="P11" s="273">
        <f>Stigninger!B51</f>
        <v>0.04</v>
      </c>
    </row>
    <row r="12" spans="1:18" ht="14.1" customHeight="1" x14ac:dyDescent="0.25">
      <c r="A12" s="222"/>
      <c r="B12" s="97" t="str">
        <f t="shared" ref="B12:B16" si="0">J12</f>
        <v>C. Brand</v>
      </c>
      <c r="C12" s="371"/>
      <c r="D12" s="372"/>
      <c r="E12" s="372"/>
      <c r="F12" s="220"/>
      <c r="G12" s="220"/>
      <c r="H12" s="220"/>
      <c r="J12" s="324" t="str">
        <f>Resultat!A52</f>
        <v>C. Brand</v>
      </c>
      <c r="K12" s="90">
        <f t="shared" ref="K12:K16" si="1">C12</f>
        <v>0</v>
      </c>
      <c r="L12" s="286">
        <f>Resultat!B54</f>
        <v>24737.07</v>
      </c>
      <c r="M12" s="272">
        <f>Resultat!C54</f>
        <v>25250.13</v>
      </c>
      <c r="N12" s="272">
        <f>Resultat!D54</f>
        <v>25763.19</v>
      </c>
      <c r="O12" s="272">
        <f>Resultat!E54</f>
        <v>26268.23</v>
      </c>
      <c r="P12" s="273">
        <f>Stigninger!B77</f>
        <v>0.04</v>
      </c>
    </row>
    <row r="13" spans="1:18" ht="14.1" customHeight="1" x14ac:dyDescent="0.25">
      <c r="A13" s="222"/>
      <c r="B13" s="97" t="str">
        <f t="shared" si="0"/>
        <v>D. Liggende sygetransport</v>
      </c>
      <c r="C13" s="371"/>
      <c r="D13" s="372"/>
      <c r="E13" s="372"/>
      <c r="F13" s="220"/>
      <c r="G13" s="220"/>
      <c r="H13" s="220"/>
      <c r="J13" s="324" t="str">
        <f>Resultat!A80</f>
        <v>D. Liggende sygetransport</v>
      </c>
      <c r="K13" s="90">
        <f t="shared" si="1"/>
        <v>0</v>
      </c>
      <c r="L13" s="286">
        <f>Resultat!B82</f>
        <v>24737.07</v>
      </c>
      <c r="M13" s="272">
        <f>Resultat!C82</f>
        <v>25250.13</v>
      </c>
      <c r="N13" s="272">
        <f>Resultat!D82</f>
        <v>25763.19</v>
      </c>
      <c r="O13" s="272">
        <f>Resultat!E82</f>
        <v>26268.23</v>
      </c>
      <c r="P13" s="273">
        <f>Stigninger!B89</f>
        <v>0.03</v>
      </c>
    </row>
    <row r="14" spans="1:18" ht="14.1" customHeight="1" x14ac:dyDescent="0.25">
      <c r="A14" s="222"/>
      <c r="B14" s="97" t="str">
        <f t="shared" si="0"/>
        <v>E. PTR (persontransport)</v>
      </c>
      <c r="C14" s="371"/>
      <c r="D14" s="372"/>
      <c r="E14" s="372"/>
      <c r="F14" s="220"/>
      <c r="G14" s="220"/>
      <c r="H14" s="220"/>
      <c r="J14" s="324" t="str">
        <f>Resultat!A94</f>
        <v>E. PTR (persontransport)</v>
      </c>
      <c r="K14" s="90">
        <f t="shared" si="1"/>
        <v>0</v>
      </c>
      <c r="L14" s="286">
        <f>Resultat!B96</f>
        <v>23234.58</v>
      </c>
      <c r="M14" s="272">
        <f>Resultat!C96</f>
        <v>23747.64</v>
      </c>
      <c r="N14" s="272">
        <f>Resultat!D96</f>
        <v>24260.7</v>
      </c>
      <c r="O14" s="272">
        <f>Resultat!E96</f>
        <v>24765.74</v>
      </c>
      <c r="P14" s="273">
        <f>Stigninger!B98</f>
        <v>0.02</v>
      </c>
    </row>
    <row r="15" spans="1:18" ht="14.1" customHeight="1" x14ac:dyDescent="0.25">
      <c r="A15" s="222"/>
      <c r="B15" s="97" t="str">
        <f t="shared" si="0"/>
        <v>F1. Assistance - Vej-/Skadeservice</v>
      </c>
      <c r="C15" s="371"/>
      <c r="D15" s="372"/>
      <c r="E15" s="372"/>
      <c r="F15" s="220"/>
      <c r="G15" s="220"/>
      <c r="H15" s="220"/>
      <c r="J15" s="324" t="str">
        <f>Resultat!A105</f>
        <v>F1. Assistance - Vej-/Skadeservice</v>
      </c>
      <c r="K15" s="90">
        <f t="shared" si="1"/>
        <v>0</v>
      </c>
      <c r="L15" s="286">
        <f>Resultat!B107</f>
        <v>24737.07</v>
      </c>
      <c r="M15" s="272">
        <f>Resultat!C107</f>
        <v>25250.13</v>
      </c>
      <c r="N15" s="272">
        <f>Resultat!D107</f>
        <v>25763.19</v>
      </c>
      <c r="O15" s="272">
        <f>Resultat!E107</f>
        <v>26268.23</v>
      </c>
      <c r="P15" s="273">
        <f>Stigninger!B111</f>
        <v>0.03</v>
      </c>
    </row>
    <row r="16" spans="1:18" ht="14.1" customHeight="1" x14ac:dyDescent="0.25">
      <c r="A16" s="222"/>
      <c r="B16" s="97" t="str">
        <f t="shared" si="0"/>
        <v>F2. Assistance - Montør/lager</v>
      </c>
      <c r="C16" s="371"/>
      <c r="D16" s="372"/>
      <c r="E16" s="372"/>
      <c r="F16" s="220"/>
      <c r="G16" s="220"/>
      <c r="H16" s="220"/>
      <c r="J16" s="325" t="str">
        <f>Resultat!A120</f>
        <v>F2. Assistance - Montør/lager</v>
      </c>
      <c r="K16" s="55">
        <f t="shared" si="1"/>
        <v>0</v>
      </c>
      <c r="L16" s="287">
        <f>Resultat!B122</f>
        <v>25980.69</v>
      </c>
      <c r="M16" s="274">
        <f>Resultat!C122</f>
        <v>26493.75</v>
      </c>
      <c r="N16" s="274">
        <f>Resultat!D122</f>
        <v>27006.81</v>
      </c>
      <c r="O16" s="274">
        <f>Resultat!E122</f>
        <v>27511.85</v>
      </c>
      <c r="P16" s="275">
        <f>Stigninger!B125</f>
        <v>0.04</v>
      </c>
    </row>
    <row r="17" spans="1:11" ht="15" x14ac:dyDescent="0.25">
      <c r="A17" s="222"/>
      <c r="B17" s="60" t="str">
        <f>'Stigninger interaktiv'!A17</f>
        <v>Vagtordning under:</v>
      </c>
      <c r="C17" s="373" t="str">
        <f>C10</f>
        <v>Vælg jf. faggruppe</v>
      </c>
      <c r="D17" s="356"/>
      <c r="E17" s="356"/>
      <c r="F17" s="220"/>
      <c r="G17" s="220"/>
      <c r="H17" s="220"/>
      <c r="J17" s="381" t="str">
        <f>Stigninger!A113</f>
        <v>Ansat før 1. oktober 2017 ved Falck Teknik</v>
      </c>
      <c r="K17" s="382"/>
    </row>
    <row r="18" spans="1:11" ht="14.1" customHeight="1" x14ac:dyDescent="0.2">
      <c r="A18" s="220"/>
      <c r="B18" s="97" t="str">
        <f>J11</f>
        <v>B. Ambulance</v>
      </c>
      <c r="C18" s="377"/>
      <c r="D18" s="378"/>
      <c r="E18" s="378"/>
      <c r="F18" s="220"/>
      <c r="G18" s="220"/>
      <c r="H18" s="220"/>
    </row>
    <row r="19" spans="1:11" ht="14.1" customHeight="1" x14ac:dyDescent="0.2">
      <c r="A19" s="61"/>
      <c r="B19" s="97" t="str">
        <f>J12</f>
        <v>C. Brand</v>
      </c>
      <c r="C19" s="377"/>
      <c r="D19" s="378"/>
      <c r="E19" s="378"/>
      <c r="F19" s="220"/>
      <c r="G19" s="220"/>
      <c r="H19" s="220"/>
    </row>
    <row r="20" spans="1:11" ht="14.1" customHeight="1" x14ac:dyDescent="0.2">
      <c r="A20" s="61"/>
      <c r="B20" s="96"/>
      <c r="C20" s="61"/>
      <c r="D20" s="61"/>
      <c r="E20" s="61"/>
      <c r="F20" s="61"/>
      <c r="G20" s="61"/>
      <c r="H20" s="61"/>
    </row>
    <row r="21" spans="1:11" ht="15.75" x14ac:dyDescent="0.25">
      <c r="A21" s="61"/>
      <c r="B21" s="327" t="s">
        <v>96</v>
      </c>
      <c r="C21" s="328" t="s">
        <v>128</v>
      </c>
      <c r="D21" s="329"/>
      <c r="E21" s="328" t="s">
        <v>129</v>
      </c>
      <c r="F21" s="329"/>
      <c r="G21" s="328" t="s">
        <v>130</v>
      </c>
      <c r="H21" s="61"/>
      <c r="J21" s="326" t="s">
        <v>94</v>
      </c>
    </row>
    <row r="22" spans="1:11" ht="14.1" customHeight="1" x14ac:dyDescent="0.2">
      <c r="A22" s="61"/>
      <c r="B22" s="276" t="str">
        <f>Resultat!A3</f>
        <v>Grundløn, pr. måned</v>
      </c>
      <c r="C22" s="300" t="str">
        <f>IF($C$8=0,"",Stigninger!C6)</f>
        <v/>
      </c>
      <c r="D22" s="297"/>
      <c r="E22" s="300" t="str">
        <f>IF($C$8=0,"",Stigninger!D6)</f>
        <v/>
      </c>
      <c r="F22" s="297"/>
      <c r="G22" s="300" t="str">
        <f>IF($C$8=0,"",Stigninger!E6)</f>
        <v/>
      </c>
      <c r="H22" s="61"/>
      <c r="I22" s="192"/>
      <c r="J22" s="280" t="str">
        <f>IF($C$8=0,"",VLOOKUP($C$8,$J$11:$L$16,3))</f>
        <v/>
      </c>
    </row>
    <row r="23" spans="1:11" ht="14.1" customHeight="1" x14ac:dyDescent="0.2">
      <c r="A23" s="61"/>
      <c r="B23" s="276" t="str">
        <f>Resultat!A4</f>
        <v>Kvalifikationsløn</v>
      </c>
      <c r="C23" s="300" t="str">
        <f>IF($C$8=$J$14,Stigninger!$C$93,IF(OR($C$9="",$C$8&lt;&gt;$J$10),"",VLOOKUP($C$9,Stigninger!$A$8:$E$10,3)))</f>
        <v/>
      </c>
      <c r="D23" s="297"/>
      <c r="E23" s="300" t="str">
        <f>IF($C$8=$J$14,Stigninger!$D$93,IF(OR($C$9="",$C$8&lt;&gt;$J$10),"",VLOOKUP($C$9,Stigninger!$A$8:$E$10,4)))</f>
        <v/>
      </c>
      <c r="F23" s="297"/>
      <c r="G23" s="300" t="str">
        <f>IF($C$8=$J$14,Stigninger!$E$93,IF(OR($C$9="",$C$8&lt;&gt;$J$10),"",VLOOKUP($C$9,Stigninger!$A$8:$E$10,5)))</f>
        <v/>
      </c>
      <c r="H23" s="61"/>
      <c r="I23" s="192"/>
      <c r="J23" s="278" t="str">
        <f>IF($C$8=$J$14,Stigninger!$B$93,IF(OR($C$9="",$C$8&lt;&gt;$J$11),"",VLOOKUP($C$9,Stigninger!$A$8:$B$10,2)))</f>
        <v/>
      </c>
    </row>
    <row r="24" spans="1:11" ht="14.1" customHeight="1" x14ac:dyDescent="0.2">
      <c r="A24" s="61"/>
      <c r="B24" s="276" t="str">
        <f>Resultat!A8</f>
        <v>Reddertillæg</v>
      </c>
      <c r="C24" s="300" t="str">
        <f>IF(OR($C$8=0,$C$8=$J$14,$C$8=$J$16),"",Stigninger!C11)</f>
        <v/>
      </c>
      <c r="D24" s="297"/>
      <c r="E24" s="300" t="str">
        <f>IF(OR($C$8=0,$C$8=$J$14,$C$8=$J$16),"",Stigninger!D11)</f>
        <v/>
      </c>
      <c r="F24" s="297"/>
      <c r="G24" s="300" t="str">
        <f>IF(OR($C$8=0,$C$8=$J$14,$C$8=$J$16),"",Stigninger!E11)</f>
        <v/>
      </c>
      <c r="H24" s="61"/>
      <c r="J24" s="278" t="str">
        <f>IF(OR($C$8=0,$C$8=$J$14,$C$8=$J$16),"",Stigninger!B11)</f>
        <v/>
      </c>
    </row>
    <row r="25" spans="1:11" ht="14.1" customHeight="1" x14ac:dyDescent="0.2">
      <c r="A25" s="61"/>
      <c r="B25" s="284" t="str">
        <f>Resultat!A9</f>
        <v>Særligt tillæg</v>
      </c>
      <c r="C25" s="300" t="str">
        <f>IF(OR($C$8=0,$C$8=$J$14,$C$8=$J$16),"",Stigninger!C12)</f>
        <v/>
      </c>
      <c r="D25" s="297"/>
      <c r="E25" s="300" t="str">
        <f>IF(OR($C$8=0,$C$8=$J$14,$C$8=$J$16),"",Stigninger!D12)</f>
        <v/>
      </c>
      <c r="F25" s="297"/>
      <c r="G25" s="300" t="str">
        <f>IF(OR($C$8=0,$C$8=$J$14,$C$8=$J$16),"",Stigninger!E12)</f>
        <v/>
      </c>
      <c r="H25" s="61"/>
      <c r="J25" s="278" t="str">
        <f>IF(OR($C$8=0,$C$8=$J$14,$C$8=$J$16),"",Stigninger!B12)</f>
        <v/>
      </c>
    </row>
    <row r="26" spans="1:11" ht="14.1" customHeight="1" x14ac:dyDescent="0.2">
      <c r="A26" s="61"/>
      <c r="B26" s="276" t="str">
        <f>Resultat!A10</f>
        <v>Anciennitetstillæg</v>
      </c>
      <c r="C26" s="300" t="str">
        <f>IF($C$8=0,"",IF($C$8=$J$10,IF($C$11&lt;&gt;0,VLOOKUP($C$11,Stigninger!$A$14:$E$27,3),""),IF($C$8=$J$11,IF($C$12&lt;&gt;0,VLOOKUP($C$12,Stigninger!$A$59:$E$61,3),""),IF($C$8=$J$12,IF($C$13&lt;&gt;0,VLOOKUP($C$13,Stigninger!$A$85:$E$87,3),""),IF($C$8=$J$13,IF($C$14&lt;&gt;0,VLOOKUP($C$14,Stigninger!$A$95:$E$96,3),""),IF($C$8=$J$14,IF($C$15&lt;&gt;0,VLOOKUP($C$15,Stigninger!$A$107:$E$109,3),""),IF($C$8=$J$15,IF($C$16&lt;&gt;0,VLOOKUP($C$16,Stigninger!$A$117:$E$123,3),""),)))))))</f>
        <v/>
      </c>
      <c r="D26" s="297"/>
      <c r="E26" s="300" t="str">
        <f>IF($C$8=0,"",IF($C$8=$J$10,IF($C$11&lt;&gt;0,VLOOKUP($C$11,Stigninger!$A$14:$E$27,4),""),IF($C$8=$J$11,IF($C$12&lt;&gt;0,VLOOKUP($C$12,Stigninger!$A$59:$E$61,4),""),IF($C$8=$J$12,IF($C$13&lt;&gt;0,VLOOKUP($C$13,Stigninger!$A$85:$E$87,4),""),IF($C$8=$J$13,IF($C$14&lt;&gt;0,VLOOKUP($C$14,Stigninger!$A$95:$E$96,4),""),IF($C$8=$J$14,IF($C$15&lt;&gt;0,VLOOKUP($C$15,Stigninger!$A$107:$E$109,4),""),IF($C$8=$J$15,IF($C$16&lt;&gt;0,VLOOKUP($C$16,Stigninger!$A$117:$E$123,4),""),)))))))</f>
        <v/>
      </c>
      <c r="F26" s="297"/>
      <c r="G26" s="300" t="str">
        <f>IF($C$8=0,"",IF($C$8=$J$10,IF($C$11&lt;&gt;0,VLOOKUP($C$11,Stigninger!$A$14:$E$27,5),""),IF($C$8=$J$11,IF($C$12&lt;&gt;0,VLOOKUP($C$12,Stigninger!$A$59:$E$61,5),""),IF($C$8=$J$12,IF($C$13&lt;&gt;0,VLOOKUP($C$13,Stigninger!$A$85:$E$87,5),""),IF($C$8=$J$13,IF($C$14&lt;&gt;0,VLOOKUP($C$14,Stigninger!$A$95:$E$96,5),""),IF($C$8=$J$14,IF($C$15&lt;&gt;0,VLOOKUP($C$15,Stigninger!$A$107:$E$109,5),""),IF($C$8=$J$15,IF($C$16&lt;&gt;0,VLOOKUP($C$16,Stigninger!$A$117:$E$123,5),""),)))))))</f>
        <v/>
      </c>
      <c r="H26" s="61"/>
      <c r="J26" s="278" t="str">
        <f>IF($C$8=0,"",IF($C$8=$J$11,IF($C$11&lt;&gt;0,VLOOKUP($C$11,Stigninger!$A$14:$E$27,2),""),IF($C$8=$J$12,IF($C$12&lt;&gt;0,VLOOKUP($C$12,Stigninger!$A$59:$E$61,2),""),IF($C$8=$J$13,IF($C$13&lt;&gt;0,VLOOKUP($C$13,Stigninger!$A$85:$E$87,2),""),IF($C$8=$J$14,IF($C$14&lt;&gt;0,VLOOKUP($C$14,Stigninger!$A$95:$E$96,2),""),IF($C$8=$J$15,IF($C$15&lt;&gt;0,VLOOKUP($C$15,Stigninger!$A$107:$E$109,2),""),IF($C$8=$J$16,IF($C$16&lt;&gt;0,VLOOKUP($C$16,Stigninger!$A$117:$E$123,2),""),)))))))</f>
        <v/>
      </c>
    </row>
    <row r="27" spans="1:11" ht="14.1" customHeight="1" x14ac:dyDescent="0.2">
      <c r="A27" s="61"/>
      <c r="B27" s="276" t="str">
        <f>Resultat!A25</f>
        <v>Geneløn ekskl. helligdagstillæg</v>
      </c>
      <c r="C27" s="301" t="str">
        <f>IF($C$8=$J$11,IF($C$18&lt;&gt;0,VLOOKUP($C$18,Stigninger!$A$31:$E$49,3),""),IF($C$8=$J$12,IF($C$19&lt;&gt;0,VLOOKUP($C$19,Stigninger!$A$65:$E$75,3),""),""))</f>
        <v/>
      </c>
      <c r="D27" s="298"/>
      <c r="E27" s="301" t="str">
        <f>IF($C$8=$J$11,IF($C$18&lt;&gt;0,VLOOKUP($C$18,Stigninger!$A$31:$E$49,4),""),IF($C$8=$J$12,IF($C$19&lt;&gt;0,VLOOKUP($C$19,Stigninger!$A$65:$E$75,4),""),""))</f>
        <v/>
      </c>
      <c r="F27" s="298"/>
      <c r="G27" s="301" t="str">
        <f>IF($C$8=$J$11,IF($C$18&lt;&gt;0,VLOOKUP($C$18,Stigninger!$A$31:$E$49,5),""),IF($C$8=$J$12,IF($C$19&lt;&gt;0,VLOOKUP($C$19,Stigninger!$A$65:$E$75,5),""),""))</f>
        <v/>
      </c>
      <c r="H27" s="61"/>
      <c r="J27" s="281" t="str">
        <f>IF($C$8=$J$11,IF($C$18&lt;&gt;0,VLOOKUP($C$18,Stigninger!$A$31:$E$49,2),""),IF($C$8=$J$12,IF($C$19&lt;&gt;0,VLOOKUP($C$19,Stigninger!$A$65:$E$75,2),""),""))</f>
        <v/>
      </c>
    </row>
    <row r="28" spans="1:11" ht="15" customHeight="1" x14ac:dyDescent="0.2">
      <c r="A28" s="61"/>
      <c r="B28" s="60" t="str">
        <f>'Stigninger interaktiv'!A28</f>
        <v>Månedsløn i alt</v>
      </c>
      <c r="C28" s="302" t="str">
        <f>IF($C$8=0,"",SUM(C22:C27))</f>
        <v/>
      </c>
      <c r="D28" s="297"/>
      <c r="E28" s="302" t="str">
        <f>IF($C$8=0,"",SUM(E22:E27))</f>
        <v/>
      </c>
      <c r="F28" s="297"/>
      <c r="G28" s="302" t="str">
        <f>IF($C$8=0,"",SUM(G22:G27))</f>
        <v/>
      </c>
      <c r="H28" s="61"/>
      <c r="J28" s="282" t="str">
        <f>IF($C$8=0,"",SUM(J22:J27))</f>
        <v/>
      </c>
    </row>
    <row r="29" spans="1:11" ht="14.1" customHeight="1" x14ac:dyDescent="0.2">
      <c r="A29" s="61"/>
      <c r="B29" s="276" t="str">
        <f>Resultat!A49</f>
        <v>Særlig opsparing, inkl. feriepenge</v>
      </c>
      <c r="C29" s="300" t="str">
        <f>IF($C$8=0,"",($J$28+C28)*C39+C28*((VLOOKUP($C$8,$J$10:$P$15,7)+C39)))</f>
        <v/>
      </c>
      <c r="D29" s="297"/>
      <c r="E29" s="300" t="str">
        <f>IF($C$8=0,"",($J$28+C28+E28)*E39+E28*((VLOOKUP($C$8,$J$10:$P$15,7)+C39+E39)))</f>
        <v/>
      </c>
      <c r="F29" s="297"/>
      <c r="G29" s="300" t="str">
        <f>IF($C$8=0,"",($J$28+C28+E28+G28)*G39+G28*((VLOOKUP($C$8,$J$10:$P$15,7)+C39+E39+G39)))</f>
        <v/>
      </c>
      <c r="H29" s="61"/>
      <c r="J29" s="281" t="str">
        <f>IF($C$8=0,"",J28*VLOOKUP(C8,J11:P16,7))</f>
        <v/>
      </c>
    </row>
    <row r="30" spans="1:11" ht="15" customHeight="1" thickBot="1" x14ac:dyDescent="0.25">
      <c r="A30" s="61"/>
      <c r="B30" s="60" t="s">
        <v>95</v>
      </c>
      <c r="C30" s="331" t="str">
        <f>IF($C$8=0,"",SUM(C28:C29))</f>
        <v/>
      </c>
      <c r="D30" s="297"/>
      <c r="E30" s="331" t="str">
        <f>IF($C$8=0,"",SUM(E28:E29))</f>
        <v/>
      </c>
      <c r="F30" s="297"/>
      <c r="G30" s="303" t="str">
        <f>IF($C$8=0,"",SUM(G28:G29))</f>
        <v/>
      </c>
      <c r="H30" s="61"/>
      <c r="J30" s="283" t="str">
        <f>IF($C$8=0,"",SUM(J28:J29))</f>
        <v/>
      </c>
    </row>
    <row r="31" spans="1:11" ht="15" customHeight="1" thickTop="1" thickBot="1" x14ac:dyDescent="0.25">
      <c r="A31" s="61"/>
      <c r="B31" s="330" t="str">
        <f>'Stigninger interaktiv'!A31</f>
        <v>Samlet stigning 2020-2023</v>
      </c>
      <c r="C31" s="330"/>
      <c r="D31" s="330"/>
      <c r="E31" s="330"/>
      <c r="F31" s="297"/>
      <c r="G31" s="333" t="str">
        <f>IF($C$8=0,"",SUM(C30:G30))</f>
        <v/>
      </c>
      <c r="H31" s="61"/>
      <c r="J31" s="332"/>
    </row>
    <row r="32" spans="1:11" ht="15" customHeight="1" thickTop="1" x14ac:dyDescent="0.2">
      <c r="A32" s="61"/>
      <c r="B32" s="330"/>
      <c r="C32" s="330"/>
      <c r="D32" s="330"/>
      <c r="E32" s="330"/>
      <c r="F32" s="330"/>
      <c r="G32" s="330"/>
      <c r="H32" s="61"/>
      <c r="J32" s="332"/>
    </row>
    <row r="33" spans="1:8" ht="14.1" customHeight="1" x14ac:dyDescent="0.2">
      <c r="A33" s="61"/>
      <c r="B33" s="276" t="str">
        <f>Resultat!A48</f>
        <v>Ferietillæg</v>
      </c>
      <c r="C33" s="304" t="str">
        <f>IF($C$8=0,"",$C$28*VLOOKUP($C$8,'Løn interaktiv farve'!$J$11:$L$16,3))</f>
        <v/>
      </c>
      <c r="D33" s="297"/>
      <c r="E33" s="304" t="str">
        <f>IF($C$8=0,"",$E$28*VLOOKUP($C$8,'Løn interaktiv farve'!$J$11:$L$16,3))</f>
        <v/>
      </c>
      <c r="F33" s="297"/>
      <c r="G33" s="304" t="str">
        <f>IF($C$8=0,"",$G$28*VLOOKUP($C$8,'Løn interaktiv farve'!$J$11:$L$16,3))</f>
        <v/>
      </c>
      <c r="H33" s="61"/>
    </row>
    <row r="34" spans="1:8" ht="14.1" customHeight="1" x14ac:dyDescent="0.2">
      <c r="A34" s="61"/>
      <c r="B34" s="276" t="s">
        <v>97</v>
      </c>
      <c r="C34" s="300" t="str">
        <f>IF($C$8=0,"",$C$30*'B. Ambulance'!B65)</f>
        <v/>
      </c>
      <c r="D34" s="297"/>
      <c r="E34" s="300" t="str">
        <f>IF($C$8=0,"",$E$30*'B. Ambulance'!D65)</f>
        <v/>
      </c>
      <c r="F34" s="297"/>
      <c r="G34" s="300" t="str">
        <f>IF($C$8=0,"",$G$30*'B. Ambulance'!F65)</f>
        <v/>
      </c>
      <c r="H34" s="61"/>
    </row>
    <row r="35" spans="1:8" ht="15" customHeight="1" thickBot="1" x14ac:dyDescent="0.25">
      <c r="A35" s="61"/>
      <c r="B35" s="60" t="str">
        <f>'Stigninger interaktiv'!A35</f>
        <v>Samlet stigning pr. måned</v>
      </c>
      <c r="C35" s="305" t="str">
        <f>IF($C$8=0,"",SUM(C30:C34))</f>
        <v/>
      </c>
      <c r="D35" s="297"/>
      <c r="E35" s="305" t="str">
        <f>IF($C$8=0,"",SUM(E30:E34))</f>
        <v/>
      </c>
      <c r="F35" s="297"/>
      <c r="G35" s="305" t="str">
        <f>IF($C$8=0,"",SUM(G30:G34)-G31)</f>
        <v/>
      </c>
      <c r="H35" s="61"/>
    </row>
    <row r="36" spans="1:8" ht="15" customHeight="1" thickTop="1" thickBot="1" x14ac:dyDescent="0.25">
      <c r="A36" s="61"/>
      <c r="B36" s="60" t="str">
        <f>B31</f>
        <v>Samlet stigning 2020-2023</v>
      </c>
      <c r="C36" s="277"/>
      <c r="D36" s="297"/>
      <c r="E36" s="277"/>
      <c r="F36" s="306"/>
      <c r="G36" s="307" t="str">
        <f>IF($C$8=0,"",SUM(C35:G35))</f>
        <v/>
      </c>
      <c r="H36" s="61"/>
    </row>
    <row r="37" spans="1:8" ht="15" customHeight="1" thickTop="1" x14ac:dyDescent="0.2">
      <c r="A37" s="61"/>
      <c r="B37" s="60"/>
      <c r="C37" s="277"/>
      <c r="D37" s="297"/>
      <c r="E37" s="277"/>
      <c r="F37" s="297"/>
      <c r="G37" s="277"/>
      <c r="H37" s="61"/>
    </row>
    <row r="38" spans="1:8" ht="15" customHeight="1" x14ac:dyDescent="0.2">
      <c r="A38" s="61"/>
      <c r="B38" s="60" t="str">
        <f>Resultat!A48</f>
        <v>Ferietillæg</v>
      </c>
      <c r="C38" s="308" t="str">
        <f>IF($C$8=0,"",Stigninger!C124)</f>
        <v/>
      </c>
      <c r="D38" s="299"/>
      <c r="E38" s="308" t="str">
        <f>IF($C$8=0,"",Stigninger!D124)</f>
        <v/>
      </c>
      <c r="F38" s="299"/>
      <c r="G38" s="308" t="str">
        <f>IF($C$8=0,"",Stigninger!E124)</f>
        <v/>
      </c>
      <c r="H38" s="61"/>
    </row>
    <row r="39" spans="1:8" ht="15" customHeight="1" x14ac:dyDescent="0.2">
      <c r="A39" s="61"/>
      <c r="B39" s="60" t="str">
        <f>Resultat!A49</f>
        <v>Særlig opsparing, inkl. feriepenge</v>
      </c>
      <c r="C39" s="308" t="str">
        <f>IF($C$8=0,"",Stigninger!C51)</f>
        <v/>
      </c>
      <c r="D39" s="299"/>
      <c r="E39" s="308" t="str">
        <f>IF($C$8=0,"",Stigninger!D51)</f>
        <v/>
      </c>
      <c r="F39" s="299"/>
      <c r="G39" s="308" t="str">
        <f>IF($C$8=0,"",Stigninger!E51)</f>
        <v/>
      </c>
      <c r="H39" s="61"/>
    </row>
    <row r="40" spans="1:8" ht="14.1" customHeight="1" x14ac:dyDescent="0.2">
      <c r="A40" s="61"/>
      <c r="B40" s="60"/>
      <c r="C40" s="277"/>
      <c r="D40" s="297"/>
      <c r="E40" s="277"/>
      <c r="F40" s="297"/>
      <c r="G40" s="277"/>
      <c r="H40" s="61"/>
    </row>
    <row r="41" spans="1:8" ht="15" customHeight="1" x14ac:dyDescent="0.25">
      <c r="A41" s="61"/>
      <c r="B41" s="59" t="str">
        <f>Resultat!A152</f>
        <v>Pension</v>
      </c>
      <c r="C41" s="277"/>
      <c r="D41" s="297"/>
      <c r="E41" s="277"/>
      <c r="F41" s="297"/>
      <c r="G41" s="277"/>
      <c r="H41" s="61"/>
    </row>
    <row r="42" spans="1:8" ht="14.1" customHeight="1" x14ac:dyDescent="0.2">
      <c r="A42" s="61"/>
      <c r="B42" s="276" t="str">
        <f>Resultat!A153</f>
        <v>Arbejdsgivers bidrag</v>
      </c>
      <c r="C42" s="310" t="str">
        <f>IF($C$8=0,"",Stigninger!C143)</f>
        <v/>
      </c>
      <c r="D42" s="297"/>
      <c r="E42" s="310" t="str">
        <f>IF($C$8=0,"",Stigninger!D143)</f>
        <v/>
      </c>
      <c r="F42" s="297"/>
      <c r="G42" s="310" t="str">
        <f>IF($C$8=0,"",Stigninger!E143)</f>
        <v/>
      </c>
      <c r="H42" s="61"/>
    </row>
    <row r="43" spans="1:8" ht="14.1" customHeight="1" x14ac:dyDescent="0.2">
      <c r="A43" s="61"/>
      <c r="B43" s="276" t="str">
        <f>Resultat!A154</f>
        <v>Lønmodtagers bidrag</v>
      </c>
      <c r="C43" s="310" t="str">
        <f>IF($C$8=0,"",Stigninger!C144)</f>
        <v/>
      </c>
      <c r="D43" s="297"/>
      <c r="E43" s="310" t="str">
        <f>IF($C$8=0,"",Stigninger!D144)</f>
        <v/>
      </c>
      <c r="F43" s="297"/>
      <c r="G43" s="310" t="str">
        <f>IF($C$8=0,"",Stigninger!E144)</f>
        <v/>
      </c>
      <c r="H43" s="61"/>
    </row>
    <row r="44" spans="1:8" ht="15" customHeight="1" thickBot="1" x14ac:dyDescent="0.25">
      <c r="A44" s="61"/>
      <c r="B44" s="60" t="str">
        <f>Resultat!A155</f>
        <v>Pensionsbidrag i alt</v>
      </c>
      <c r="C44" s="311" t="str">
        <f>IF($C$8=0,"",SUM(C42:C43))</f>
        <v/>
      </c>
      <c r="D44" s="297"/>
      <c r="E44" s="311" t="str">
        <f>IF($C$8=0,"",SUM(E42:E43))</f>
        <v/>
      </c>
      <c r="F44" s="297"/>
      <c r="G44" s="311" t="str">
        <f>IF($C$8=0,"",SUM(G42:G43))</f>
        <v/>
      </c>
      <c r="H44" s="61"/>
    </row>
    <row r="45" spans="1:8" ht="14.1" customHeight="1" thickTop="1" x14ac:dyDescent="0.2">
      <c r="A45" s="61"/>
      <c r="B45" s="60"/>
      <c r="C45" s="277"/>
      <c r="D45" s="297"/>
      <c r="E45" s="277"/>
      <c r="F45" s="297"/>
      <c r="G45" s="277"/>
      <c r="H45" s="61"/>
    </row>
    <row r="46" spans="1:8" ht="15" customHeight="1" x14ac:dyDescent="0.25">
      <c r="A46" s="61"/>
      <c r="B46" s="59" t="str">
        <f>'B. Ambulance'!A69</f>
        <v>Genetillæg pr. time</v>
      </c>
      <c r="C46" s="277"/>
      <c r="D46" s="297"/>
      <c r="E46" s="277"/>
      <c r="F46" s="297"/>
      <c r="G46" s="277"/>
      <c r="H46" s="61"/>
    </row>
    <row r="47" spans="1:8" ht="15" customHeight="1" x14ac:dyDescent="0.2">
      <c r="A47" s="61"/>
      <c r="B47" s="60" t="str">
        <f>'B. Ambulance'!A70</f>
        <v>Hverdage</v>
      </c>
      <c r="C47" s="277"/>
      <c r="D47" s="297"/>
      <c r="E47" s="277"/>
      <c r="F47" s="297"/>
      <c r="G47" s="277"/>
      <c r="H47" s="61"/>
    </row>
    <row r="48" spans="1:8" ht="14.1" customHeight="1" x14ac:dyDescent="0.2">
      <c r="A48" s="61"/>
      <c r="B48" s="276" t="str">
        <f>'B. Ambulance'!A71</f>
        <v>Dag – kl. 07.00 til kl. 18.00</v>
      </c>
      <c r="C48" s="312" t="str">
        <f>IF($C$8=0,"",Stigninger!C136)</f>
        <v/>
      </c>
      <c r="D48" s="309"/>
      <c r="E48" s="312" t="str">
        <f>IF($C$8=0,"",Stigninger!D136)</f>
        <v/>
      </c>
      <c r="F48" s="297"/>
      <c r="G48" s="312" t="str">
        <f>IF($C$8=0,"",Stigninger!E136)</f>
        <v/>
      </c>
      <c r="H48" s="61"/>
    </row>
    <row r="49" spans="1:8" ht="14.1" customHeight="1" x14ac:dyDescent="0.2">
      <c r="A49" s="61"/>
      <c r="B49" s="276" t="str">
        <f>'B. Ambulance'!A72</f>
        <v>Aften – kl. 18.00 til kl. 24.00</v>
      </c>
      <c r="C49" s="313" t="str">
        <f>IF($C$8=0,"",Stigninger!C137)</f>
        <v/>
      </c>
      <c r="D49" s="314"/>
      <c r="E49" s="312" t="str">
        <f>IF($C$8=0,"",Stigninger!D137)</f>
        <v/>
      </c>
      <c r="F49" s="314"/>
      <c r="G49" s="312" t="str">
        <f>IF($C$8=0,"",Stigninger!E137)</f>
        <v/>
      </c>
      <c r="H49" s="61"/>
    </row>
    <row r="50" spans="1:8" ht="14.1" customHeight="1" x14ac:dyDescent="0.2">
      <c r="A50" s="61"/>
      <c r="B50" s="276" t="str">
        <f>'B. Ambulance'!A73</f>
        <v>Nat – kl. 24.00 til kl. 07.00</v>
      </c>
      <c r="C50" s="301" t="str">
        <f>IF($C$8=0,"",Stigninger!C138)</f>
        <v/>
      </c>
      <c r="D50" s="315"/>
      <c r="E50" s="301" t="str">
        <f>IF($C$8=0,"",Stigninger!D138)</f>
        <v/>
      </c>
      <c r="F50" s="315"/>
      <c r="G50" s="301" t="str">
        <f>IF($C$8=0,"",Stigninger!E138)</f>
        <v/>
      </c>
      <c r="H50" s="61"/>
    </row>
    <row r="51" spans="1:8" ht="15" customHeight="1" x14ac:dyDescent="0.2">
      <c r="A51" s="61"/>
      <c r="B51" s="60" t="str">
        <f>'B. Ambulance'!A74</f>
        <v>Weekend</v>
      </c>
      <c r="C51" s="277"/>
      <c r="D51" s="297"/>
      <c r="E51" s="277"/>
      <c r="F51" s="297"/>
      <c r="G51" s="277"/>
      <c r="H51" s="61"/>
    </row>
    <row r="52" spans="1:8" ht="14.1" customHeight="1" x14ac:dyDescent="0.2">
      <c r="A52" s="61"/>
      <c r="B52" s="276" t="str">
        <f>'B. Ambulance'!A75</f>
        <v>Lørdag kl. 07.00 til mandag kl. 07.00</v>
      </c>
      <c r="C52" s="301" t="str">
        <f>IF($C$8=0,"",Stigninger!C140)</f>
        <v/>
      </c>
      <c r="D52" s="315"/>
      <c r="E52" s="301" t="str">
        <f>IF($C$8=0,"",Stigninger!D140)</f>
        <v/>
      </c>
      <c r="F52" s="315"/>
      <c r="G52" s="301" t="str">
        <f>IF($C$8=0,"",Stigninger!E140)</f>
        <v/>
      </c>
      <c r="H52" s="61"/>
    </row>
    <row r="53" spans="1:8" ht="14.1" customHeight="1" x14ac:dyDescent="0.2">
      <c r="A53" s="61"/>
      <c r="B53" s="276" t="str">
        <f>'B. Ambulance'!A76</f>
        <v>Skæve helligdage og øvrige helligdage</v>
      </c>
      <c r="C53" s="301" t="str">
        <f>IF($C$8=0,"",Stigninger!C141)</f>
        <v/>
      </c>
      <c r="D53" s="315"/>
      <c r="E53" s="301" t="str">
        <f>IF($C$8=0,"",Stigninger!D141)</f>
        <v/>
      </c>
      <c r="F53" s="315"/>
      <c r="G53" s="312" t="str">
        <f>IF($C$8=0,"",Stigninger!E141)</f>
        <v/>
      </c>
      <c r="H53" s="61"/>
    </row>
    <row r="54" spans="1:8" ht="14.1" customHeight="1" x14ac:dyDescent="0.25">
      <c r="A54" s="61"/>
      <c r="B54" s="59"/>
      <c r="C54" s="315"/>
      <c r="D54" s="315"/>
      <c r="E54" s="315"/>
      <c r="F54" s="315"/>
      <c r="G54" s="316"/>
      <c r="H54" s="61"/>
    </row>
    <row r="55" spans="1:8" ht="15" customHeight="1" x14ac:dyDescent="0.2">
      <c r="A55" s="61"/>
      <c r="B55" s="60" t="str">
        <f>IF(OR($C$8=$J$11,$C$8=$J$12),Resultat!A138,"")</f>
        <v/>
      </c>
      <c r="C55" s="315"/>
      <c r="D55" s="315"/>
      <c r="E55" s="315"/>
      <c r="F55" s="315"/>
      <c r="G55" s="316"/>
      <c r="H55" s="61"/>
    </row>
    <row r="56" spans="1:8" ht="24.95" customHeight="1" x14ac:dyDescent="0.2">
      <c r="A56" s="61"/>
      <c r="B56" s="285" t="str">
        <f>IF(OR($C$8=$J$11,$C$8=$J$12),Resultat!A139,"")</f>
        <v/>
      </c>
      <c r="C56" s="304" t="str">
        <f>IF(OR($C$8=$J$11,$C$8=$J$12),Stigninger!C129,"")</f>
        <v/>
      </c>
      <c r="D56" s="315"/>
      <c r="E56" s="304" t="str">
        <f>IF(OR($C$8=$J$11,$C$8=$J$12),Stigninger!D129,"")</f>
        <v/>
      </c>
      <c r="F56" s="315"/>
      <c r="G56" s="304" t="str">
        <f>IF(OR($C$8=$J$11,$C$8=$J$12),Stigninger!E129,"")</f>
        <v/>
      </c>
      <c r="H56" s="61"/>
    </row>
    <row r="57" spans="1:8" ht="14.1" customHeight="1" x14ac:dyDescent="0.2">
      <c r="A57" s="61"/>
      <c r="B57" s="285"/>
      <c r="C57" s="285"/>
      <c r="D57" s="315"/>
      <c r="E57" s="285"/>
      <c r="F57" s="315"/>
      <c r="G57" s="285"/>
      <c r="H57" s="61"/>
    </row>
    <row r="58" spans="1:8" ht="24.95" customHeight="1" x14ac:dyDescent="0.2">
      <c r="A58" s="61"/>
      <c r="B58" s="285" t="str">
        <f>IF(OR($C$8=$J$11,$C$8=$J$12),Resultat!A140,"")</f>
        <v/>
      </c>
      <c r="C58" s="304" t="str">
        <f>IF(OR($C$8=$J$11,$C$8=$J$12),Stigninger!C130,"")</f>
        <v/>
      </c>
      <c r="D58" s="315"/>
      <c r="E58" s="304" t="str">
        <f>IF(OR($C$8=$J$11,$C$8=$J$12),Stigninger!D130,"")</f>
        <v/>
      </c>
      <c r="F58" s="315"/>
      <c r="G58" s="304" t="str">
        <f>IF(OR($C$8=$J$11,$C$8=$J$12),Stigninger!E130,"")</f>
        <v/>
      </c>
      <c r="H58" s="61"/>
    </row>
    <row r="59" spans="1:8" ht="14.1" customHeight="1" x14ac:dyDescent="0.2">
      <c r="A59" s="61"/>
      <c r="B59" s="285"/>
      <c r="C59" s="285"/>
      <c r="D59" s="315"/>
      <c r="E59" s="285"/>
      <c r="F59" s="315"/>
      <c r="G59" s="285"/>
      <c r="H59" s="61"/>
    </row>
    <row r="60" spans="1:8" ht="37.700000000000003" customHeight="1" x14ac:dyDescent="0.2">
      <c r="A60" s="61"/>
      <c r="B60" s="285" t="str">
        <f>IF(OR($C$8=$J$11,$C$8=$J$12),Resultat!A141,"")</f>
        <v/>
      </c>
      <c r="C60" s="304" t="str">
        <f>IF(OR($C$8=$J$11,$C$8=$J$12),Stigninger!C131,"")</f>
        <v/>
      </c>
      <c r="D60" s="315"/>
      <c r="E60" s="304" t="str">
        <f>IF(OR($C$8=$J$11,$C$8=$J$12),Stigninger!D131,"")</f>
        <v/>
      </c>
      <c r="F60" s="315"/>
      <c r="G60" s="304" t="str">
        <f>IF(OR($C$8=$J$11,$C$8=$J$12),Stigninger!E131,"")</f>
        <v/>
      </c>
      <c r="H60" s="61"/>
    </row>
    <row r="61" spans="1:8" ht="14.1" customHeight="1" x14ac:dyDescent="0.2">
      <c r="A61" s="61"/>
      <c r="B61" s="285"/>
      <c r="C61" s="285"/>
      <c r="D61" s="315"/>
      <c r="E61" s="285"/>
      <c r="F61" s="315"/>
      <c r="G61" s="285"/>
      <c r="H61" s="61"/>
    </row>
    <row r="62" spans="1:8" ht="12.6" customHeight="1" x14ac:dyDescent="0.2">
      <c r="A62" s="61"/>
      <c r="B62" s="285" t="str">
        <f>IF(OR($C$8=$J$11,$C$8=$J$12),Resultat!A142,"")</f>
        <v/>
      </c>
      <c r="C62" s="304" t="str">
        <f>IF(OR($C$8=$J$11,$C$8=$J$12),Stigninger!C132,"")</f>
        <v/>
      </c>
      <c r="D62" s="315"/>
      <c r="E62" s="304" t="str">
        <f>IF(OR($C$8=$J$11,$C$8=$J$12),Stigninger!D132,"")</f>
        <v/>
      </c>
      <c r="F62" s="315"/>
      <c r="G62" s="304" t="str">
        <f>IF(OR($C$8=$J$11,$C$8=$J$12),Stigninger!E132,"")</f>
        <v/>
      </c>
      <c r="H62" s="61"/>
    </row>
    <row r="63" spans="1:8" x14ac:dyDescent="0.2">
      <c r="A63" s="61"/>
      <c r="B63" s="285"/>
      <c r="C63" s="285"/>
      <c r="D63" s="315"/>
      <c r="E63" s="285"/>
      <c r="F63" s="315"/>
      <c r="G63" s="285"/>
      <c r="H63" s="61"/>
    </row>
    <row r="64" spans="1:8" ht="24.95" customHeight="1" x14ac:dyDescent="0.2">
      <c r="A64" s="61"/>
      <c r="B64" s="285" t="str">
        <f>IF(OR($C$8=$J$11,$C$8=$J$12),Resultat!A143,"")</f>
        <v/>
      </c>
      <c r="C64" s="304" t="str">
        <f>IF(OR($C$8=$J$11,$C$8=$J$12),Stigninger!C133,"")</f>
        <v/>
      </c>
      <c r="D64" s="315"/>
      <c r="E64" s="304" t="str">
        <f>IF(OR($C$8=$J$11,$C$8=$J$12),Stigninger!D133,"")</f>
        <v/>
      </c>
      <c r="F64" s="315"/>
      <c r="G64" s="304" t="str">
        <f>IF(OR($C$8=$J$11,$C$8=$J$12),Stigninger!E133,"")</f>
        <v/>
      </c>
      <c r="H64" s="61"/>
    </row>
    <row r="65" spans="1:8" ht="14.1" customHeight="1" x14ac:dyDescent="0.2">
      <c r="A65" s="61"/>
      <c r="B65" s="97"/>
      <c r="C65" s="61"/>
      <c r="D65" s="61"/>
      <c r="E65" s="61"/>
      <c r="F65" s="61"/>
      <c r="G65" s="61"/>
      <c r="H65" s="61"/>
    </row>
    <row r="66" spans="1:8" x14ac:dyDescent="0.2">
      <c r="A66" s="240"/>
    </row>
  </sheetData>
  <sheetProtection algorithmName="SHA-512" hashValue="MZaI8uj+a+9B6eb3lDMgFs1s0JPDwRrR14+blZwnpZYzeI76KEV7kUWbsm2BrbUnv+60f7IBGDW0xTaQ+yVMhg==" saltValue="EE1n8EwAcqLdvjPhDOXHaw==" spinCount="100000" sheet="1" objects="1" scenarios="1"/>
  <mergeCells count="19">
    <mergeCell ref="C18:E18"/>
    <mergeCell ref="C19:E19"/>
    <mergeCell ref="C9:E9"/>
    <mergeCell ref="J17:K17"/>
    <mergeCell ref="C14:E14"/>
    <mergeCell ref="C15:E15"/>
    <mergeCell ref="C16:E16"/>
    <mergeCell ref="C17:E17"/>
    <mergeCell ref="L8:O8"/>
    <mergeCell ref="C11:E11"/>
    <mergeCell ref="C12:E12"/>
    <mergeCell ref="C13:E13"/>
    <mergeCell ref="C10:E10"/>
    <mergeCell ref="C8:E8"/>
    <mergeCell ref="A5:H5"/>
    <mergeCell ref="A1:H1"/>
    <mergeCell ref="A2:H2"/>
    <mergeCell ref="A4:H4"/>
    <mergeCell ref="A3:H3"/>
  </mergeCells>
  <phoneticPr fontId="0" type="noConversion"/>
  <dataValidations count="1">
    <dataValidation type="list" allowBlank="1" showInputMessage="1" showErrorMessage="1" errorTitle="Fejl" error="Der skal vælges fra liste" sqref="C8:E8" xr:uid="{6CDC2392-D5D2-4B9D-9FC4-174E7AB9BFA7}">
      <formula1>$J$10:$J$16</formula1>
    </dataValidation>
  </dataValidations>
  <printOptions horizontalCentered="1"/>
  <pageMargins left="0.78740157480314965" right="0.78740157480314965" top="0.59055118110236227" bottom="7.874015748031496E-2" header="0.59055118110236227" footer="0.19685039370078741"/>
  <pageSetup paperSize="9" orientation="portrait" draft="1" r:id="rId1"/>
  <headerFooter alignWithMargins="0"/>
  <rowBreaks count="1" manualBreakCount="1">
    <brk id="54" max="16383" man="1"/>
  </rowBreaks>
  <ignoredErrors>
    <ignoredError sqref="D33 F33" formula="1"/>
    <ignoredError sqref="B2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98F1F6B-CE27-4654-A942-279DA12E00E4}">
          <x14:formula1>
            <xm:f>'B. Ambulance'!$A$14:$A$17</xm:f>
          </x14:formula1>
          <xm:sqref>C9</xm:sqref>
        </x14:dataValidation>
        <x14:dataValidation type="list" allowBlank="1" showInputMessage="1" showErrorMessage="1" xr:uid="{853E2B15-04E2-469B-955F-A725F47202F6}">
          <x14:formula1>
            <xm:f>'B. Ambulance'!$A$22:$A$36</xm:f>
          </x14:formula1>
          <xm:sqref>C11</xm:sqref>
        </x14:dataValidation>
        <x14:dataValidation type="list" allowBlank="1" showInputMessage="1" showErrorMessage="1" xr:uid="{37620674-92B2-4EDE-8CDD-5C746CC508E5}">
          <x14:formula1>
            <xm:f>'C. Brand'!$A$16:$A$19</xm:f>
          </x14:formula1>
          <xm:sqref>C12:E12</xm:sqref>
        </x14:dataValidation>
        <x14:dataValidation type="list" allowBlank="1" showInputMessage="1" showErrorMessage="1" xr:uid="{75BD44D9-DBB4-45B8-A10D-6FB068779269}">
          <x14:formula1>
            <xm:f>'D. Liggende sygetransport'!$A$16:$A$19</xm:f>
          </x14:formula1>
          <xm:sqref>C13:E13</xm:sqref>
        </x14:dataValidation>
        <x14:dataValidation type="list" allowBlank="1" showInputMessage="1" showErrorMessage="1" xr:uid="{57A30F0F-5213-404A-9F8E-7313315A47BA}">
          <x14:formula1>
            <xm:f>'E. PTR (persontransport)'!$A$14:$A$16</xm:f>
          </x14:formula1>
          <xm:sqref>C14:E14</xm:sqref>
        </x14:dataValidation>
        <x14:dataValidation type="list" allowBlank="1" showInputMessage="1" showErrorMessage="1" xr:uid="{01637ED6-A28C-41F8-9029-38ED87F4A6F4}">
          <x14:formula1>
            <xm:f>'F. Assistance 1'!$A$22:$A$25</xm:f>
          </x14:formula1>
          <xm:sqref>C15:E15</xm:sqref>
        </x14:dataValidation>
        <x14:dataValidation type="list" allowBlank="1" showInputMessage="1" showErrorMessage="1" xr:uid="{1463A15C-1D42-4AC1-A37B-B4F17E5F84F1}">
          <x14:formula1>
            <xm:f>'F. Assistance 2'!$A$15:$A$22</xm:f>
          </x14:formula1>
          <xm:sqref>C16:E16</xm:sqref>
        </x14:dataValidation>
        <x14:dataValidation type="list" allowBlank="1" showInputMessage="1" showErrorMessage="1" xr:uid="{2D7182A7-4E43-4674-A24A-07189E015A02}">
          <x14:formula1>
            <xm:f>'B. Ambulance'!$A$40:$A$59</xm:f>
          </x14:formula1>
          <xm:sqref>C18:E18</xm:sqref>
        </x14:dataValidation>
        <x14:dataValidation type="list" allowBlank="1" showInputMessage="1" showErrorMessage="1" xr:uid="{C24D8321-D4EB-4D7B-A646-D028A48974D2}">
          <x14:formula1>
            <xm:f>'C. Brand'!$A$23:$A$34</xm:f>
          </x14:formula1>
          <xm:sqref>C19:E19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D539-8C2F-4ED7-B831-B9AC017C0808}">
  <dimension ref="A1:S65"/>
  <sheetViews>
    <sheetView showGridLines="0" showRowColHeaders="0" topLeftCell="A18" zoomScale="216" zoomScaleNormal="216" workbookViewId="0">
      <selection sqref="A1:F1"/>
    </sheetView>
  </sheetViews>
  <sheetFormatPr defaultRowHeight="12.75" x14ac:dyDescent="0.2"/>
  <cols>
    <col min="1" max="1" width="2.7109375" customWidth="1"/>
    <col min="2" max="2" width="42.140625" style="240" customWidth="1"/>
    <col min="3" max="3" width="11.42578125" customWidth="1"/>
    <col min="4" max="4" width="2.7109375" customWidth="1"/>
    <col min="5" max="5" width="11.42578125" customWidth="1"/>
    <col min="6" max="6" width="2.7109375" customWidth="1"/>
    <col min="7" max="7" width="11.42578125" customWidth="1"/>
    <col min="8" max="8" width="2.42578125" customWidth="1"/>
    <col min="9" max="9" width="2.7109375" customWidth="1"/>
    <col min="10" max="10" width="31.140625" hidden="1" customWidth="1"/>
    <col min="11" max="11" width="20.28515625" hidden="1" customWidth="1"/>
    <col min="12" max="12" width="10.85546875" style="317" hidden="1" customWidth="1"/>
    <col min="13" max="16" width="9.28515625" hidden="1" customWidth="1"/>
    <col min="17" max="17" width="16.7109375" hidden="1" customWidth="1"/>
  </cols>
  <sheetData>
    <row r="1" spans="1:19" ht="18" x14ac:dyDescent="0.25">
      <c r="A1" s="365" t="str">
        <f>'Løn interaktiv'!A1</f>
        <v>Lønoversigt for Redderoverenskomster</v>
      </c>
      <c r="B1" s="365"/>
      <c r="C1" s="365"/>
      <c r="D1" s="365"/>
      <c r="E1" s="365"/>
      <c r="F1" s="365"/>
      <c r="G1" s="365"/>
      <c r="H1" s="366"/>
      <c r="I1" s="218"/>
    </row>
    <row r="2" spans="1:19" ht="18" x14ac:dyDescent="0.25">
      <c r="A2" s="365" t="str">
        <f>'Stigninger interaktiv'!A2</f>
        <v>mellem DEA for Falck/Responce og 3F</v>
      </c>
      <c r="B2" s="367"/>
      <c r="C2" s="367"/>
      <c r="D2" s="367"/>
      <c r="E2" s="367"/>
      <c r="F2" s="367"/>
      <c r="G2" s="367"/>
      <c r="H2" s="367"/>
      <c r="I2" s="221"/>
      <c r="J2" s="58"/>
    </row>
    <row r="3" spans="1:19" ht="18" x14ac:dyDescent="0.25">
      <c r="A3" s="365" t="str">
        <f>'Stigninger interaktiv'!A3</f>
        <v>vedrørende B. Ambulance</v>
      </c>
      <c r="B3" s="367"/>
      <c r="C3" s="367"/>
      <c r="D3" s="367"/>
      <c r="E3" s="367"/>
      <c r="F3" s="367"/>
      <c r="G3" s="367"/>
      <c r="H3" s="367"/>
      <c r="I3" s="218"/>
      <c r="J3" s="57"/>
    </row>
    <row r="4" spans="1:19" ht="18" x14ac:dyDescent="0.25">
      <c r="A4" s="365" t="str">
        <f>'Stigninger interaktiv'!A4</f>
        <v>1. marts 2020 til 28. februar 2023</v>
      </c>
      <c r="B4" s="365"/>
      <c r="C4" s="365"/>
      <c r="D4" s="365"/>
      <c r="E4" s="365"/>
      <c r="F4" s="365"/>
      <c r="G4" s="365"/>
      <c r="H4" s="366"/>
      <c r="J4" s="57"/>
    </row>
    <row r="5" spans="1:19" ht="15" x14ac:dyDescent="0.25">
      <c r="A5" s="363" t="str">
        <f>'Stigninger interaktiv'!A5</f>
        <v>Gældende fra begyndelsen af den lønningsuge hvori 1. marts indgår.</v>
      </c>
      <c r="B5" s="364"/>
      <c r="C5" s="364"/>
      <c r="D5" s="364"/>
      <c r="E5" s="364"/>
      <c r="F5" s="364"/>
      <c r="G5" s="364"/>
      <c r="H5" s="364"/>
      <c r="J5" s="57"/>
    </row>
    <row r="6" spans="1:19" ht="14.1" customHeight="1" x14ac:dyDescent="0.25">
      <c r="A6" s="222"/>
      <c r="B6" s="220"/>
      <c r="C6" s="220"/>
      <c r="D6" s="220"/>
      <c r="E6" s="220"/>
      <c r="F6" s="220"/>
      <c r="G6" s="220"/>
      <c r="H6" s="220"/>
      <c r="J6" s="57"/>
      <c r="Q6" s="54"/>
      <c r="R6" s="54"/>
      <c r="S6" s="54"/>
    </row>
    <row r="7" spans="1:19" ht="15" x14ac:dyDescent="0.25">
      <c r="A7" s="222"/>
      <c r="B7" s="60" t="str">
        <f>'Stigninger interaktiv'!A7</f>
        <v>Lønoversigten gælder for:</v>
      </c>
      <c r="C7" s="220"/>
      <c r="D7" s="220"/>
      <c r="E7" s="220"/>
      <c r="F7" s="220"/>
      <c r="G7" s="220"/>
      <c r="H7" s="220"/>
      <c r="J7" s="57"/>
      <c r="Q7" s="54"/>
      <c r="R7" s="54"/>
      <c r="S7" s="54"/>
    </row>
    <row r="8" spans="1:19" ht="15" x14ac:dyDescent="0.25">
      <c r="A8" s="222"/>
      <c r="B8" s="60" t="str">
        <f>J9</f>
        <v>Faggruppe</v>
      </c>
      <c r="C8" s="375"/>
      <c r="D8" s="376"/>
      <c r="E8" s="376"/>
      <c r="F8" s="220"/>
      <c r="G8" s="220"/>
      <c r="H8" s="220"/>
      <c r="J8" s="291"/>
      <c r="K8" s="91"/>
      <c r="L8" s="91"/>
      <c r="M8" s="368" t="str">
        <f>Resultat!A3</f>
        <v>Grundløn, pr. måned</v>
      </c>
      <c r="N8" s="369"/>
      <c r="O8" s="369"/>
      <c r="P8" s="370"/>
      <c r="Q8" s="271" t="s">
        <v>123</v>
      </c>
      <c r="R8" s="54"/>
      <c r="S8" s="54"/>
    </row>
    <row r="9" spans="1:19" ht="15" x14ac:dyDescent="0.25">
      <c r="A9" s="222"/>
      <c r="B9" s="60" t="str">
        <f>'Stigninger interaktiv'!A9</f>
        <v>Stillingskategori</v>
      </c>
      <c r="C9" s="379"/>
      <c r="D9" s="380"/>
      <c r="E9" s="380"/>
      <c r="F9" s="220"/>
      <c r="G9" s="220"/>
      <c r="H9" s="220"/>
      <c r="J9" s="292" t="s">
        <v>99</v>
      </c>
      <c r="K9" s="293" t="s">
        <v>4</v>
      </c>
      <c r="L9" s="321" t="str">
        <f>B33</f>
        <v>Ferietillæg</v>
      </c>
      <c r="M9" s="294" t="s">
        <v>103</v>
      </c>
      <c r="N9" s="295" t="s">
        <v>100</v>
      </c>
      <c r="O9" s="295" t="s">
        <v>101</v>
      </c>
      <c r="P9" s="295" t="s">
        <v>102</v>
      </c>
      <c r="Q9" s="296" t="s">
        <v>94</v>
      </c>
    </row>
    <row r="10" spans="1:19" ht="15" x14ac:dyDescent="0.25">
      <c r="A10" s="222"/>
      <c r="B10" s="60" t="str">
        <f>'Stigninger interaktiv'!A10</f>
        <v>Anciennitet ved:</v>
      </c>
      <c r="C10" s="373" t="str">
        <f>'Stigninger interaktiv'!B10</f>
        <v>Vælg jf. faggruppe</v>
      </c>
      <c r="D10" s="374"/>
      <c r="E10" s="374"/>
      <c r="F10" s="220"/>
      <c r="G10" s="220"/>
      <c r="H10" s="220"/>
      <c r="J10" s="323"/>
      <c r="K10" s="53"/>
      <c r="L10" s="318"/>
      <c r="M10" s="288"/>
      <c r="N10" s="289"/>
      <c r="O10" s="289"/>
      <c r="P10" s="289"/>
      <c r="Q10" s="290"/>
    </row>
    <row r="11" spans="1:19" ht="14.1" customHeight="1" x14ac:dyDescent="0.25">
      <c r="A11" s="222"/>
      <c r="B11" s="97" t="str">
        <f>J11</f>
        <v>B. Ambulance</v>
      </c>
      <c r="C11" s="371"/>
      <c r="D11" s="372"/>
      <c r="E11" s="372"/>
      <c r="F11" s="220"/>
      <c r="G11" s="220"/>
      <c r="H11" s="220"/>
      <c r="J11" s="324" t="str">
        <f>Resultat!A1</f>
        <v>B. Ambulance</v>
      </c>
      <c r="K11" s="90">
        <f>C11</f>
        <v>0</v>
      </c>
      <c r="L11" s="319">
        <f>Resultat!B48</f>
        <v>2.5000000000000001E-2</v>
      </c>
      <c r="M11" s="286">
        <f>Resultat!B3</f>
        <v>24936.79</v>
      </c>
      <c r="N11" s="272">
        <f>Resultat!C3</f>
        <v>25449.85</v>
      </c>
      <c r="O11" s="272">
        <f>Resultat!D3</f>
        <v>25962.91</v>
      </c>
      <c r="P11" s="272">
        <f>Resultat!E3</f>
        <v>26467.95</v>
      </c>
      <c r="Q11" s="273">
        <f>Stigninger!B51</f>
        <v>0.04</v>
      </c>
    </row>
    <row r="12" spans="1:19" ht="14.1" customHeight="1" x14ac:dyDescent="0.25">
      <c r="A12" s="222"/>
      <c r="B12" s="97" t="str">
        <f t="shared" ref="B12:B16" si="0">J12</f>
        <v>C. Brand</v>
      </c>
      <c r="C12" s="371"/>
      <c r="D12" s="372"/>
      <c r="E12" s="372"/>
      <c r="F12" s="220"/>
      <c r="G12" s="220"/>
      <c r="H12" s="220"/>
      <c r="J12" s="324" t="str">
        <f>Resultat!A52</f>
        <v>C. Brand</v>
      </c>
      <c r="K12" s="90">
        <f t="shared" ref="K12:K16" si="1">C12</f>
        <v>0</v>
      </c>
      <c r="L12" s="319">
        <f>Resultat!B76</f>
        <v>2.5000000000000001E-2</v>
      </c>
      <c r="M12" s="286">
        <f>Resultat!B54</f>
        <v>24737.07</v>
      </c>
      <c r="N12" s="272">
        <f>Resultat!C54</f>
        <v>25250.13</v>
      </c>
      <c r="O12" s="272">
        <f>Resultat!D54</f>
        <v>25763.19</v>
      </c>
      <c r="P12" s="272">
        <f>Resultat!E54</f>
        <v>26268.23</v>
      </c>
      <c r="Q12" s="273">
        <f>Stigninger!B77</f>
        <v>0.04</v>
      </c>
    </row>
    <row r="13" spans="1:19" ht="14.1" customHeight="1" x14ac:dyDescent="0.25">
      <c r="A13" s="222"/>
      <c r="B13" s="97" t="str">
        <f t="shared" si="0"/>
        <v>D. Liggende sygetransport</v>
      </c>
      <c r="C13" s="371"/>
      <c r="D13" s="372"/>
      <c r="E13" s="372"/>
      <c r="F13" s="220"/>
      <c r="G13" s="220"/>
      <c r="H13" s="220"/>
      <c r="J13" s="324" t="str">
        <f>Resultat!A80</f>
        <v>D. Liggende sygetransport</v>
      </c>
      <c r="K13" s="90">
        <f t="shared" si="1"/>
        <v>0</v>
      </c>
      <c r="L13" s="319">
        <f>Resultat!B90</f>
        <v>0.01</v>
      </c>
      <c r="M13" s="286">
        <f>Resultat!B82</f>
        <v>24737.07</v>
      </c>
      <c r="N13" s="272">
        <f>Resultat!C82</f>
        <v>25250.13</v>
      </c>
      <c r="O13" s="272">
        <f>Resultat!D82</f>
        <v>25763.19</v>
      </c>
      <c r="P13" s="272">
        <f>Resultat!E82</f>
        <v>26268.23</v>
      </c>
      <c r="Q13" s="273">
        <f>Stigninger!B89</f>
        <v>0.03</v>
      </c>
    </row>
    <row r="14" spans="1:19" ht="14.1" customHeight="1" x14ac:dyDescent="0.25">
      <c r="A14" s="222"/>
      <c r="B14" s="97" t="str">
        <f t="shared" si="0"/>
        <v>E. PTR (persontransport)</v>
      </c>
      <c r="C14" s="371"/>
      <c r="D14" s="372"/>
      <c r="E14" s="372"/>
      <c r="F14" s="220"/>
      <c r="G14" s="220"/>
      <c r="H14" s="220"/>
      <c r="J14" s="324" t="str">
        <f>Resultat!A94</f>
        <v>E. PTR (persontransport)</v>
      </c>
      <c r="K14" s="90">
        <f t="shared" si="1"/>
        <v>0</v>
      </c>
      <c r="L14" s="319">
        <f>Resultat!B101</f>
        <v>0.01</v>
      </c>
      <c r="M14" s="286">
        <f>Resultat!B96</f>
        <v>23234.58</v>
      </c>
      <c r="N14" s="272">
        <f>Resultat!C96</f>
        <v>23747.64</v>
      </c>
      <c r="O14" s="272">
        <f>Resultat!D96</f>
        <v>24260.7</v>
      </c>
      <c r="P14" s="272">
        <f>Resultat!E96</f>
        <v>24765.74</v>
      </c>
      <c r="Q14" s="273">
        <f>Stigninger!B98</f>
        <v>0.02</v>
      </c>
    </row>
    <row r="15" spans="1:19" ht="14.1" customHeight="1" x14ac:dyDescent="0.25">
      <c r="A15" s="222"/>
      <c r="B15" s="97" t="str">
        <f t="shared" si="0"/>
        <v>F1. Assistance - Vej-/Skadeservice</v>
      </c>
      <c r="C15" s="371"/>
      <c r="D15" s="372"/>
      <c r="E15" s="372"/>
      <c r="F15" s="220"/>
      <c r="G15" s="220"/>
      <c r="H15" s="220"/>
      <c r="J15" s="324" t="str">
        <f>Resultat!A105</f>
        <v>F1. Assistance - Vej-/Skadeservice</v>
      </c>
      <c r="K15" s="90">
        <f t="shared" si="1"/>
        <v>0</v>
      </c>
      <c r="L15" s="319">
        <f>Resultat!B116</f>
        <v>0.01</v>
      </c>
      <c r="M15" s="286">
        <f>Resultat!B107</f>
        <v>24737.07</v>
      </c>
      <c r="N15" s="272">
        <f>Resultat!C107</f>
        <v>25250.13</v>
      </c>
      <c r="O15" s="272">
        <f>Resultat!D107</f>
        <v>25763.19</v>
      </c>
      <c r="P15" s="272">
        <f>Resultat!E107</f>
        <v>26268.23</v>
      </c>
      <c r="Q15" s="273">
        <f>Stigninger!B111</f>
        <v>0.03</v>
      </c>
    </row>
    <row r="16" spans="1:19" ht="14.1" customHeight="1" x14ac:dyDescent="0.25">
      <c r="A16" s="222"/>
      <c r="B16" s="97" t="str">
        <f t="shared" si="0"/>
        <v>F2. Assistance - Montør/lager</v>
      </c>
      <c r="C16" s="371"/>
      <c r="D16" s="372"/>
      <c r="E16" s="372"/>
      <c r="F16" s="220"/>
      <c r="G16" s="220"/>
      <c r="H16" s="220"/>
      <c r="J16" s="325" t="str">
        <f>Resultat!A120</f>
        <v>F2. Assistance - Montør/lager</v>
      </c>
      <c r="K16" s="55">
        <f t="shared" si="1"/>
        <v>0</v>
      </c>
      <c r="L16" s="320">
        <f>Resultat!B132</f>
        <v>0.02</v>
      </c>
      <c r="M16" s="287">
        <f>Resultat!B122</f>
        <v>25980.69</v>
      </c>
      <c r="N16" s="274">
        <f>Resultat!C122</f>
        <v>26493.75</v>
      </c>
      <c r="O16" s="274">
        <f>Resultat!D122</f>
        <v>27006.81</v>
      </c>
      <c r="P16" s="274">
        <f>Resultat!E122</f>
        <v>27511.85</v>
      </c>
      <c r="Q16" s="275">
        <f>Stigninger!B125</f>
        <v>0.04</v>
      </c>
    </row>
    <row r="17" spans="1:11" ht="15" x14ac:dyDescent="0.25">
      <c r="A17" s="222"/>
      <c r="B17" s="60" t="str">
        <f>'Stigninger interaktiv'!A17</f>
        <v>Vagtordning under:</v>
      </c>
      <c r="C17" s="373" t="str">
        <f>C10</f>
        <v>Vælg jf. faggruppe</v>
      </c>
      <c r="D17" s="356"/>
      <c r="E17" s="356"/>
      <c r="F17" s="220"/>
      <c r="G17" s="220"/>
      <c r="H17" s="220"/>
      <c r="J17" s="383" t="str">
        <f>Stigninger!A113</f>
        <v>Ansat før 1. oktober 2017 ved Falck Teknik</v>
      </c>
      <c r="K17" s="384"/>
    </row>
    <row r="18" spans="1:11" ht="14.1" customHeight="1" x14ac:dyDescent="0.2">
      <c r="A18" s="220"/>
      <c r="B18" s="97" t="str">
        <f>J11</f>
        <v>B. Ambulance</v>
      </c>
      <c r="C18" s="377"/>
      <c r="D18" s="378"/>
      <c r="E18" s="378"/>
      <c r="F18" s="220"/>
      <c r="G18" s="220"/>
      <c r="H18" s="220"/>
    </row>
    <row r="19" spans="1:11" ht="14.1" customHeight="1" x14ac:dyDescent="0.2">
      <c r="A19" s="61"/>
      <c r="B19" s="97" t="str">
        <f>J12</f>
        <v>C. Brand</v>
      </c>
      <c r="C19" s="377"/>
      <c r="D19" s="378"/>
      <c r="E19" s="378"/>
      <c r="F19" s="220"/>
      <c r="G19" s="220"/>
      <c r="H19" s="220"/>
    </row>
    <row r="20" spans="1:11" ht="14.1" customHeight="1" x14ac:dyDescent="0.2">
      <c r="A20" s="61"/>
      <c r="B20" s="220"/>
      <c r="C20" s="61"/>
      <c r="D20" s="61"/>
      <c r="E20" s="61"/>
      <c r="F20" s="61"/>
      <c r="G20" s="61"/>
      <c r="H20" s="61"/>
    </row>
    <row r="21" spans="1:11" ht="15.75" x14ac:dyDescent="0.25">
      <c r="A21" s="61"/>
      <c r="B21" s="327" t="str">
        <f>'Stigninger interaktiv farver'!B21</f>
        <v>Månedsløn</v>
      </c>
      <c r="C21" s="76" t="str">
        <f>'Stigninger interaktiv farver'!C21</f>
        <v>1. mar. 2020</v>
      </c>
      <c r="D21" s="297"/>
      <c r="E21" s="76" t="str">
        <f>'Stigninger interaktiv farver'!E21</f>
        <v>1. mar. 2021</v>
      </c>
      <c r="F21" s="297"/>
      <c r="G21" s="76" t="str">
        <f>'Stigninger interaktiv farver'!G21</f>
        <v>1. mar. 2022</v>
      </c>
      <c r="H21" s="61"/>
      <c r="J21" s="326" t="s">
        <v>94</v>
      </c>
    </row>
    <row r="22" spans="1:11" ht="14.1" customHeight="1" x14ac:dyDescent="0.2">
      <c r="A22" s="61"/>
      <c r="B22" s="276" t="str">
        <f>Resultat!A3</f>
        <v>Grundløn, pr. måned</v>
      </c>
      <c r="C22" s="300" t="str">
        <f>IF($C$8=0,"",VLOOKUP($C$8,$J$11:$P$16,5))</f>
        <v/>
      </c>
      <c r="D22" s="297"/>
      <c r="E22" s="300" t="str">
        <f>IF($C$8=0,"",VLOOKUP($C$8,$J$11:$P$16,6))</f>
        <v/>
      </c>
      <c r="F22" s="297"/>
      <c r="G22" s="300" t="str">
        <f>IF($C$8=0,"",VLOOKUP($C$8,$J$11:$P$16,7))</f>
        <v/>
      </c>
      <c r="H22" s="61"/>
      <c r="I22" s="192"/>
      <c r="J22" s="280" t="str">
        <f>IF($C$8=0,"",VLOOKUP(C8,J11:M16,4))</f>
        <v/>
      </c>
    </row>
    <row r="23" spans="1:11" ht="14.1" customHeight="1" x14ac:dyDescent="0.2">
      <c r="A23" s="61"/>
      <c r="B23" s="276" t="str">
        <f>Resultat!A4</f>
        <v>Kvalifikationsløn</v>
      </c>
      <c r="C23" s="300" t="str">
        <f>IF($C$8=$J$14,Resultat!C97,IF(OR($C$9="",C8&lt;&gt;J11),"",VLOOKUP(C9,'B. Ambulance'!$A$14:$F$16,2)))</f>
        <v/>
      </c>
      <c r="D23" s="297"/>
      <c r="E23" s="300" t="str">
        <f>IF($C$8=$J$14,Resultat!D97,IF(OR($C$9="",C8&lt;&gt;$J$11),"",VLOOKUP(C9,'B. Ambulance'!$A$14:$F$16,4)))</f>
        <v/>
      </c>
      <c r="F23" s="297"/>
      <c r="G23" s="300" t="str">
        <f>IF($C$8=$J$14,Resultat!E97,IF(OR($C$9="",C8&lt;&gt;$J$11),"",VLOOKUP(C9,'B. Ambulance'!$A$14:$F$16,6)))</f>
        <v/>
      </c>
      <c r="H23" s="61"/>
      <c r="I23" s="192"/>
      <c r="J23" s="278" t="str">
        <f>IF($C$8=$J$14,Resultat!B97,IF(OR($C$9="",C8&lt;&gt;$J$11),"",VLOOKUP(C9,Stigninger!$A$8:$B$10,2)))</f>
        <v/>
      </c>
    </row>
    <row r="24" spans="1:11" ht="14.1" customHeight="1" x14ac:dyDescent="0.2">
      <c r="A24" s="61"/>
      <c r="B24" s="276" t="str">
        <f>Resultat!A8</f>
        <v>Reddertillæg</v>
      </c>
      <c r="C24" s="300" t="str">
        <f>IF(OR($C$8=0,$C$8=$J$14,$C$8=$J$16),"",'B. Ambulance'!B18)</f>
        <v/>
      </c>
      <c r="D24" s="297"/>
      <c r="E24" s="300" t="str">
        <f>IF(OR($C$8=0,$C$8=$J$14,$C$8=$J$16),"",'B. Ambulance'!D18)</f>
        <v/>
      </c>
      <c r="F24" s="297"/>
      <c r="G24" s="300" t="str">
        <f>IF(OR($C$8=0,$C$8=$J$14,$C$8=$J$16),"",'B. Ambulance'!F18)</f>
        <v/>
      </c>
      <c r="H24" s="61"/>
      <c r="J24" s="278" t="str">
        <f>IF(OR($C$8=0,$C$8=$J$14,$C$8=$J$16),"",Resultat!B8)</f>
        <v/>
      </c>
    </row>
    <row r="25" spans="1:11" ht="14.1" customHeight="1" x14ac:dyDescent="0.2">
      <c r="A25" s="61"/>
      <c r="B25" s="284" t="str">
        <f>Resultat!A9</f>
        <v>Særligt tillæg</v>
      </c>
      <c r="C25" s="300" t="str">
        <f>IF(OR($C$8=0,$C$8=$J$14,$C$8=$J$16),"",'B. Ambulance'!B19)</f>
        <v/>
      </c>
      <c r="D25" s="297"/>
      <c r="E25" s="300" t="str">
        <f>IF(OR($C$8=0,$C$8=$J$14,$C$8=$J$16),"",'B. Ambulance'!D19)</f>
        <v/>
      </c>
      <c r="F25" s="297"/>
      <c r="G25" s="300" t="str">
        <f>IF(OR($C$8=0,$C$8=$J$14,$C$8=$J$16),"",'B. Ambulance'!F19)</f>
        <v/>
      </c>
      <c r="H25" s="61"/>
      <c r="J25" s="278" t="str">
        <f>IF(OR($C$8=0,$C$8=$J$14,$C$8=$J$16),"",Resultat!B9)</f>
        <v/>
      </c>
    </row>
    <row r="26" spans="1:11" ht="14.1" customHeight="1" x14ac:dyDescent="0.2">
      <c r="A26" s="61"/>
      <c r="B26" s="276" t="str">
        <f>Resultat!A10</f>
        <v>Anciennitetstillæg</v>
      </c>
      <c r="C26" s="300" t="str">
        <f>IF($C$8=0,"",IF($C$8=$J$11,IF($C$11&lt;&gt;0,VLOOKUP($C$11,Resultat!$A$11:$E$24,3),""),IF($C$8=$J$12,IF($C$12&lt;&gt;0,VLOOKUP($C$12,Resultat!$A$59:$E$61,3),""),IF($C$8=$J$13,IF($C$13&lt;&gt;0,VLOOKUP($C$13,Resultat!$A$87:$E$89,3),""),IF($C$8=$J$14,IF($C$14&lt;&gt;0,VLOOKUP($C$14,Resultat!$A$99:$E$100,3),""),IF($C$8=$J$15,IF($C$15&lt;&gt;0,VLOOKUP($C$15,Resultat!$A$113:$E$115,3),""),IF($C$8=$J$16,IF($C$16&lt;&gt;0,VLOOKUP($C$16,Resultat!$A$125:$E$131,3),""))))))))</f>
        <v/>
      </c>
      <c r="D26" s="297"/>
      <c r="E26" s="300" t="str">
        <f>IF($C$8=0,"",IF($C$8=$J$11,IF($C$11&lt;&gt;0,VLOOKUP($C$11,Resultat!$A$11:$E$24,4),""),IF($C$8=$J$12,IF($C$12&lt;&gt;0,VLOOKUP($C$12,Resultat!$A$59:$E$61,4),""),IF($C$8=$J$13,IF($C$13&lt;&gt;0,VLOOKUP($C$13,Resultat!$A$87:$E$89,4),""),IF($C$8=$J$14,IF($C$14&lt;&gt;0,VLOOKUP($C$14,Resultat!$A$99:$E$100,4),""),IF($C$8=$J$15,IF($C$15&lt;&gt;0,VLOOKUP($C$15,Resultat!$A$113:$E$115,4),""),IF($C$8=$J$16,IF($C$16&lt;&gt;0,VLOOKUP($C$16,Resultat!$A$125:$E$131,4),""))))))))</f>
        <v/>
      </c>
      <c r="F26" s="297"/>
      <c r="G26" s="300" t="str">
        <f>IF($C$8=0,"",IF($C$8=$J$11,IF($C$11&lt;&gt;0,VLOOKUP($C$11,Resultat!$A$11:$E$24,5),""),IF($C$8=$J$12,IF($C$12&lt;&gt;0,VLOOKUP($C$12,Resultat!$A$59:$E$61,5),""),IF($C$8=$J$13,IF($C$13&lt;&gt;0,VLOOKUP($C$13,Resultat!$A$87:$E$89,5),""),IF($C$8=$J$14,IF($C$14&lt;&gt;0,VLOOKUP($C$14,Resultat!$A$99:$E$100,5),""),IF($C$8=$J$15,IF($C$15&lt;&gt;0,VLOOKUP($C$15,Resultat!$A$113:$E$115,5),""),IF($C$8=$J$16,IF($C$16&lt;&gt;0,VLOOKUP($C$16,Resultat!$A$125:$E$131,5),""))))))))</f>
        <v/>
      </c>
      <c r="H26" s="61"/>
      <c r="J26" s="278" t="str">
        <f>IF($C$8=0,"",IF($C$8=$J$11,IF($C$11&lt;&gt;0,VLOOKUP($C$11,Resultat!$A$11:$E$24,2),""),IF($C$8=$J$12,IF($C$12&lt;&gt;0,VLOOKUP($C$12,Resultat!$A$59:$E$61,2),""),IF($C$8=$J$13,IF($C$13&lt;&gt;0,VLOOKUP($C$13,Resultat!$A$87:$E$89,2),""),IF($C$8=$J$14,IF($C$14&lt;&gt;0,VLOOKUP($C$14,Resultat!$A$99:$E$100,2),""),IF($C$8=$J$15,IF($C$15&lt;&gt;0,VLOOKUP($C$15,Resultat!$A$113:$E$115,2),""),IF($C$8=$J$16,IF($C$16&lt;&gt;0,VLOOKUP($C$16,Resultat!$A$125:$E$131,2),""))))))))</f>
        <v/>
      </c>
    </row>
    <row r="27" spans="1:11" ht="14.1" customHeight="1" x14ac:dyDescent="0.2">
      <c r="A27" s="61"/>
      <c r="B27" s="276" t="str">
        <f>Resultat!A25</f>
        <v>Geneløn ekskl. helligdagstillæg</v>
      </c>
      <c r="C27" s="301" t="str">
        <f>IF($C$8=$J$11,IF($C$18&lt;&gt;0,VLOOKUP($C$18,Resultat!$A$29:$E$47,3),""),IF($C$8=$J$12,IF($C$19&lt;&gt;0,VLOOKUP($C$19,Resultat!$A$65:$E$75,3),""),""))</f>
        <v/>
      </c>
      <c r="D27" s="298"/>
      <c r="E27" s="301" t="str">
        <f>IF($C$8=$J$11,IF($C$18&lt;&gt;0,VLOOKUP($C$18,Resultat!$A$29:$E$47,4),""),IF($C$8=$J$12,IF($C$19&lt;&gt;0,VLOOKUP($C$19,Resultat!$A$65:$E$75,4),""),""))</f>
        <v/>
      </c>
      <c r="F27" s="298"/>
      <c r="G27" s="301" t="str">
        <f>IF($C$8=$J$11,IF($C$18&lt;&gt;0,VLOOKUP($C$18,Resultat!$A$29:$E$47,5),""),IF($C$8=$J$12,IF($C$19&lt;&gt;0,VLOOKUP($C$19,Resultat!$A$65:$E$75,5),""),""))</f>
        <v/>
      </c>
      <c r="H27" s="61"/>
      <c r="J27" s="281" t="str">
        <f>IF($C$8=$J$11,IF($C$18&lt;&gt;0,VLOOKUP($C$18,Resultat!$A$29:$E$47,2),""),IF($C$8=$J$12,IF($C$19&lt;&gt;0,VLOOKUP($C$19,Resultat!$A$65:$E$75,2),""),""))</f>
        <v/>
      </c>
    </row>
    <row r="28" spans="1:11" ht="15" customHeight="1" x14ac:dyDescent="0.2">
      <c r="A28" s="61"/>
      <c r="B28" s="60" t="str">
        <f>'Stigninger interaktiv'!A28</f>
        <v>Månedsløn i alt</v>
      </c>
      <c r="C28" s="302" t="str">
        <f>IF($C$8=0,"",SUM(C22:C27))</f>
        <v/>
      </c>
      <c r="D28" s="297"/>
      <c r="E28" s="302" t="str">
        <f>IF($C$8=0,"",SUM(E22:E27))</f>
        <v/>
      </c>
      <c r="F28" s="297"/>
      <c r="G28" s="302" t="str">
        <f>IF($C$8=0,"",SUM(G22:G27))</f>
        <v/>
      </c>
      <c r="H28" s="61"/>
      <c r="J28" s="282" t="str">
        <f>IF($C$8=0,"",SUM(J22:J27))</f>
        <v/>
      </c>
    </row>
    <row r="29" spans="1:11" ht="14.1" customHeight="1" x14ac:dyDescent="0.2">
      <c r="A29" s="61"/>
      <c r="B29" s="276" t="str">
        <f>Resultat!A49</f>
        <v>Særlig opsparing, inkl. feriepenge</v>
      </c>
      <c r="C29" s="300" t="str">
        <f>IF($C$8=0,"",C28*C39)</f>
        <v/>
      </c>
      <c r="D29" s="297"/>
      <c r="E29" s="300" t="str">
        <f>IF($C$8=0,"",E28*E39)</f>
        <v/>
      </c>
      <c r="F29" s="297"/>
      <c r="G29" s="300" t="str">
        <f>IF($C$8=0,"",G28*G39)</f>
        <v/>
      </c>
      <c r="H29" s="61"/>
      <c r="J29" s="281" t="str">
        <f>IF($C$8=0,"",J28*VLOOKUP(B11,J11:Q16,8))</f>
        <v/>
      </c>
    </row>
    <row r="30" spans="1:11" ht="15" customHeight="1" thickBot="1" x14ac:dyDescent="0.25">
      <c r="A30" s="61"/>
      <c r="B30" s="60" t="str">
        <f>'Stigninger interaktiv'!A30</f>
        <v>I alt inkl. særlig opsparing</v>
      </c>
      <c r="C30" s="331" t="str">
        <f>IF($C$8=0,"",SUM(C28:C29))</f>
        <v/>
      </c>
      <c r="D30" s="297"/>
      <c r="E30" s="331" t="str">
        <f>IF($C$8=0,"",SUM(E28:E29))</f>
        <v/>
      </c>
      <c r="F30" s="297"/>
      <c r="G30" s="303" t="str">
        <f>IF($C$8=0,"",SUM(G28:G29))</f>
        <v/>
      </c>
      <c r="H30" s="61"/>
      <c r="J30" s="282" t="str">
        <f>IF($C$8=0,"",SUM(J28:J29))</f>
        <v/>
      </c>
    </row>
    <row r="31" spans="1:11" ht="15" customHeight="1" thickTop="1" thickBot="1" x14ac:dyDescent="0.25">
      <c r="A31" s="61"/>
      <c r="B31" s="330" t="str">
        <f>'Stigninger interaktiv'!A31</f>
        <v>Samlet stigning 2020-2023</v>
      </c>
      <c r="C31" s="330"/>
      <c r="D31" s="330"/>
      <c r="E31" s="330"/>
      <c r="F31" s="297"/>
      <c r="G31" s="333" t="str">
        <f>IF($C$8=0,"",G30-J30)</f>
        <v/>
      </c>
      <c r="H31" s="61"/>
      <c r="J31" s="278" t="str">
        <f>IF($C$8=0,"",J28*VLOOKUP(C8,J11:L16,3))</f>
        <v/>
      </c>
    </row>
    <row r="32" spans="1:11" ht="14.1" customHeight="1" thickTop="1" x14ac:dyDescent="0.2">
      <c r="A32" s="61"/>
      <c r="B32" s="330"/>
      <c r="C32" s="330"/>
      <c r="D32" s="330"/>
      <c r="E32" s="330"/>
      <c r="F32" s="330"/>
      <c r="G32" s="330"/>
      <c r="H32" s="61"/>
      <c r="J32" s="278" t="str">
        <f>IF($C$8=0,"",J30*Stigninger!B143)</f>
        <v/>
      </c>
    </row>
    <row r="33" spans="1:10" ht="15" customHeight="1" x14ac:dyDescent="0.2">
      <c r="A33" s="61"/>
      <c r="B33" s="276" t="str">
        <f>Resultat!A48</f>
        <v>Ferietillæg</v>
      </c>
      <c r="C33" s="304" t="str">
        <f>IF($C$8=0,"",C28*C38)</f>
        <v/>
      </c>
      <c r="D33" s="297"/>
      <c r="E33" s="304" t="str">
        <f>IF($C$8=0,"",E28*E38)</f>
        <v/>
      </c>
      <c r="F33" s="297"/>
      <c r="G33" s="304" t="str">
        <f>IF($C$8=0,"",G28*G38)</f>
        <v/>
      </c>
      <c r="H33" s="61"/>
      <c r="J33" s="279">
        <f>IF($B$8=0,"",SUM(J30:J32))</f>
        <v>0</v>
      </c>
    </row>
    <row r="34" spans="1:10" ht="15" customHeight="1" x14ac:dyDescent="0.2">
      <c r="A34" s="61"/>
      <c r="B34" s="276" t="str">
        <f>'Stigninger interaktiv'!A34</f>
        <v>Arbejdsgivers pensionbidrag</v>
      </c>
      <c r="C34" s="300" t="str">
        <f>IF($C$8=0,"",C30*'B. Ambulance'!B65)</f>
        <v/>
      </c>
      <c r="D34" s="297"/>
      <c r="E34" s="300" t="str">
        <f>IF($C$8=0,"",E30*'B. Ambulance'!D65)</f>
        <v/>
      </c>
      <c r="F34" s="297"/>
      <c r="G34" s="300" t="str">
        <f>IF($C$8=0,"",G30*'B. Ambulance'!F65)</f>
        <v/>
      </c>
      <c r="H34" s="61"/>
    </row>
    <row r="35" spans="1:10" ht="15" customHeight="1" thickBot="1" x14ac:dyDescent="0.25">
      <c r="A35" s="61"/>
      <c r="B35" s="60" t="str">
        <f>'Løn interaktiv'!A35</f>
        <v>I alt inkl. ferietill. og arb. pensionbidrag</v>
      </c>
      <c r="C35" s="331" t="str">
        <f>IF($C$8=0,"",SUM(C30:C34))</f>
        <v/>
      </c>
      <c r="D35" s="297"/>
      <c r="E35" s="331" t="str">
        <f>IF($C$8=0,"",SUM(E30:E34))</f>
        <v/>
      </c>
      <c r="F35" s="297"/>
      <c r="G35" s="331" t="str">
        <f>IF($C$8=0,"",SUM(G30:G34)-G31)</f>
        <v/>
      </c>
      <c r="H35" s="61"/>
    </row>
    <row r="36" spans="1:10" ht="15" customHeight="1" thickTop="1" thickBot="1" x14ac:dyDescent="0.25">
      <c r="A36" s="61"/>
      <c r="B36" s="60" t="str">
        <f>'Stigninger interaktiv'!A36</f>
        <v>Samlet stigning 2020-2023</v>
      </c>
      <c r="C36" s="277"/>
      <c r="D36" s="297"/>
      <c r="E36" s="277"/>
      <c r="F36" s="306"/>
      <c r="G36" s="307" t="str">
        <f>IF($C$8=0,"",G35-J33)</f>
        <v/>
      </c>
      <c r="H36" s="61"/>
    </row>
    <row r="37" spans="1:10" ht="15" customHeight="1" thickTop="1" x14ac:dyDescent="0.2">
      <c r="A37" s="61"/>
      <c r="B37" s="60"/>
      <c r="C37" s="277"/>
      <c r="D37" s="297"/>
      <c r="E37" s="277"/>
      <c r="F37" s="306"/>
      <c r="G37" s="306"/>
      <c r="H37" s="61"/>
    </row>
    <row r="38" spans="1:10" ht="14.1" customHeight="1" x14ac:dyDescent="0.2">
      <c r="A38" s="61"/>
      <c r="B38" s="60" t="str">
        <f>Resultat!A48</f>
        <v>Ferietillæg</v>
      </c>
      <c r="C38" s="308" t="str">
        <f>IF($C$8=0,"",VLOOKUP($C$8,$J$11:$L$16,3))</f>
        <v/>
      </c>
      <c r="D38" s="299"/>
      <c r="E38" s="308" t="str">
        <f>IF($C$8=0,"",VLOOKUP($C$8,$J$11:$L$16,3))</f>
        <v/>
      </c>
      <c r="F38" s="299"/>
      <c r="G38" s="308" t="str">
        <f>IF($C$8=0,"",VLOOKUP($C$8,$J$11:$L$16,3))</f>
        <v/>
      </c>
      <c r="H38" s="61"/>
    </row>
    <row r="39" spans="1:10" ht="15" customHeight="1" x14ac:dyDescent="0.2">
      <c r="A39" s="61"/>
      <c r="B39" s="60" t="str">
        <f>Resultat!A49</f>
        <v>Særlig opsparing, inkl. feriepenge</v>
      </c>
      <c r="C39" s="308" t="str">
        <f>IF($C$8=0,"",Resultat!C49)</f>
        <v/>
      </c>
      <c r="D39" s="299"/>
      <c r="E39" s="308" t="str">
        <f>IF($C$8=0,"",Resultat!D49)</f>
        <v/>
      </c>
      <c r="F39" s="299"/>
      <c r="G39" s="308" t="str">
        <f>IF($C$8=0,"",Resultat!E49)</f>
        <v/>
      </c>
      <c r="H39" s="61"/>
    </row>
    <row r="40" spans="1:10" ht="14.1" customHeight="1" x14ac:dyDescent="0.2">
      <c r="A40" s="61"/>
      <c r="B40" s="60"/>
      <c r="C40" s="277"/>
      <c r="D40" s="297"/>
      <c r="E40" s="277"/>
      <c r="F40" s="297"/>
      <c r="G40" s="277"/>
      <c r="H40" s="61"/>
    </row>
    <row r="41" spans="1:10" ht="14.1" customHeight="1" x14ac:dyDescent="0.25">
      <c r="A41" s="61"/>
      <c r="B41" s="59" t="str">
        <f>Resultat!A152</f>
        <v>Pension</v>
      </c>
      <c r="C41" s="277"/>
      <c r="D41" s="297"/>
      <c r="E41" s="277"/>
      <c r="F41" s="297"/>
      <c r="G41" s="277"/>
      <c r="H41" s="61"/>
    </row>
    <row r="42" spans="1:10" ht="15" customHeight="1" x14ac:dyDescent="0.2">
      <c r="A42" s="61"/>
      <c r="B42" s="276" t="str">
        <f>Resultat!A153</f>
        <v>Arbejdsgivers bidrag</v>
      </c>
      <c r="C42" s="308" t="str">
        <f>IF($C$8=0,"",Resultat!C153)</f>
        <v/>
      </c>
      <c r="D42" s="299"/>
      <c r="E42" s="308" t="str">
        <f>IF($C$8=0,"",Resultat!D153)</f>
        <v/>
      </c>
      <c r="F42" s="299"/>
      <c r="G42" s="308" t="str">
        <f>IF($C$8=0,"",Resultat!E153)</f>
        <v/>
      </c>
      <c r="H42" s="61"/>
    </row>
    <row r="43" spans="1:10" ht="14.1" customHeight="1" x14ac:dyDescent="0.2">
      <c r="A43" s="61"/>
      <c r="B43" s="276" t="str">
        <f>Resultat!A154</f>
        <v>Lønmodtagers bidrag</v>
      </c>
      <c r="C43" s="308" t="str">
        <f>IF($C$8=0,"",Resultat!C154)</f>
        <v/>
      </c>
      <c r="D43" s="299"/>
      <c r="E43" s="308" t="str">
        <f>IF($C$8=0,"",Resultat!D154)</f>
        <v/>
      </c>
      <c r="F43" s="299"/>
      <c r="G43" s="308" t="str">
        <f>IF($C$8=0,"",Resultat!E154)</f>
        <v/>
      </c>
      <c r="H43" s="61"/>
    </row>
    <row r="44" spans="1:10" ht="14.1" customHeight="1" thickBot="1" x14ac:dyDescent="0.25">
      <c r="A44" s="61"/>
      <c r="B44" s="60" t="str">
        <f>Resultat!A155</f>
        <v>Pensionsbidrag i alt</v>
      </c>
      <c r="C44" s="322" t="str">
        <f>IF($C$8=0,"",SUM(C42:C43))</f>
        <v/>
      </c>
      <c r="D44" s="299"/>
      <c r="E44" s="322" t="str">
        <f>IF($C$8=0,"",SUM(E42:E43))</f>
        <v/>
      </c>
      <c r="F44" s="299"/>
      <c r="G44" s="322" t="str">
        <f>IF($C$8=0,"",SUM(G42:G43))</f>
        <v/>
      </c>
      <c r="H44" s="61"/>
    </row>
    <row r="45" spans="1:10" ht="15" customHeight="1" thickTop="1" x14ac:dyDescent="0.2">
      <c r="A45" s="61"/>
      <c r="B45" s="60"/>
      <c r="C45" s="277"/>
      <c r="D45" s="297"/>
      <c r="E45" s="277"/>
      <c r="F45" s="297"/>
      <c r="G45" s="277"/>
      <c r="H45" s="61"/>
    </row>
    <row r="46" spans="1:10" ht="14.1" customHeight="1" x14ac:dyDescent="0.25">
      <c r="A46" s="61"/>
      <c r="B46" s="59" t="str">
        <f>'B. Ambulance'!A69</f>
        <v>Genetillæg pr. time</v>
      </c>
      <c r="C46" s="277"/>
      <c r="D46" s="315"/>
      <c r="E46" s="277"/>
      <c r="F46" s="297"/>
      <c r="G46" s="277"/>
      <c r="H46" s="61"/>
    </row>
    <row r="47" spans="1:10" ht="14.1" customHeight="1" x14ac:dyDescent="0.2">
      <c r="A47" s="61"/>
      <c r="B47" s="60" t="str">
        <f>'B. Ambulance'!A70</f>
        <v>Hverdage</v>
      </c>
      <c r="C47" s="277"/>
      <c r="D47" s="315"/>
      <c r="E47" s="277"/>
      <c r="F47" s="297"/>
      <c r="G47" s="277"/>
      <c r="H47" s="61"/>
    </row>
    <row r="48" spans="1:10" ht="14.1" customHeight="1" x14ac:dyDescent="0.2">
      <c r="A48" s="61"/>
      <c r="B48" s="276" t="str">
        <f>'B. Ambulance'!A71</f>
        <v>Dag – kl. 07.00 til kl. 18.00</v>
      </c>
      <c r="C48" s="312" t="str">
        <f>IF($C$8=0,"",Resultat!C146)</f>
        <v/>
      </c>
      <c r="D48" s="315"/>
      <c r="E48" s="312" t="str">
        <f>IF($C$8=0,"",Resultat!D146)</f>
        <v/>
      </c>
      <c r="F48" s="297"/>
      <c r="G48" s="312" t="str">
        <f>IF($C$8=0,"",Resultat!E146)</f>
        <v/>
      </c>
      <c r="H48" s="61"/>
    </row>
    <row r="49" spans="1:8" ht="15" customHeight="1" x14ac:dyDescent="0.2">
      <c r="A49" s="61"/>
      <c r="B49" s="276" t="str">
        <f>'B. Ambulance'!A72</f>
        <v>Aften – kl. 18.00 til kl. 24.00</v>
      </c>
      <c r="C49" s="312" t="str">
        <f>IF($C$8=0,"",Resultat!C147)</f>
        <v/>
      </c>
      <c r="D49" s="315"/>
      <c r="E49" s="312" t="str">
        <f>IF($C$8=0,"",Resultat!D147)</f>
        <v/>
      </c>
      <c r="F49" s="297"/>
      <c r="G49" s="312" t="str">
        <f>IF($C$8=0,"",Resultat!E147)</f>
        <v/>
      </c>
      <c r="H49" s="61"/>
    </row>
    <row r="50" spans="1:8" ht="14.1" customHeight="1" x14ac:dyDescent="0.2">
      <c r="A50" s="61"/>
      <c r="B50" s="276" t="str">
        <f>'B. Ambulance'!A73</f>
        <v>Nat – kl. 24.00 til kl. 07.00</v>
      </c>
      <c r="C50" s="312" t="str">
        <f>IF($C$8=0,"",Resultat!C148)</f>
        <v/>
      </c>
      <c r="D50" s="315"/>
      <c r="E50" s="312" t="str">
        <f>IF($C$8=0,"",Resultat!D148)</f>
        <v/>
      </c>
      <c r="F50" s="297"/>
      <c r="G50" s="312" t="str">
        <f>IF($C$8=0,"",Resultat!E148)</f>
        <v/>
      </c>
      <c r="H50" s="61"/>
    </row>
    <row r="51" spans="1:8" ht="14.1" customHeight="1" x14ac:dyDescent="0.2">
      <c r="A51" s="61"/>
      <c r="B51" s="60" t="str">
        <f>'B. Ambulance'!A74</f>
        <v>Weekend</v>
      </c>
      <c r="C51" s="277"/>
      <c r="D51" s="315"/>
      <c r="E51" s="277"/>
      <c r="F51" s="297"/>
      <c r="G51" s="277"/>
      <c r="H51" s="61"/>
    </row>
    <row r="52" spans="1:8" ht="14.1" customHeight="1" x14ac:dyDescent="0.2">
      <c r="A52" s="61"/>
      <c r="B52" s="276" t="str">
        <f>'B. Ambulance'!A75</f>
        <v>Lørdag kl. 07.00 til mandag kl. 07.00</v>
      </c>
      <c r="C52" s="312" t="str">
        <f>IF($C$8=0,"",Resultat!C150)</f>
        <v/>
      </c>
      <c r="D52" s="315"/>
      <c r="E52" s="312" t="str">
        <f>IF($C$8=0,"",Resultat!D150)</f>
        <v/>
      </c>
      <c r="F52" s="297"/>
      <c r="G52" s="312" t="str">
        <f>IF($C$8=0,"",Resultat!E150)</f>
        <v/>
      </c>
      <c r="H52" s="61"/>
    </row>
    <row r="53" spans="1:8" ht="15" customHeight="1" x14ac:dyDescent="0.2">
      <c r="A53" s="61"/>
      <c r="B53" s="276" t="str">
        <f>'B. Ambulance'!A76</f>
        <v>Skæve helligdage og øvrige helligdage</v>
      </c>
      <c r="C53" s="312" t="str">
        <f>IF($C$8=0,"",Resultat!C151)</f>
        <v/>
      </c>
      <c r="D53" s="315"/>
      <c r="E53" s="312" t="str">
        <f>IF($C$8=0,"",Resultat!D151)</f>
        <v/>
      </c>
      <c r="F53" s="297"/>
      <c r="G53" s="312" t="str">
        <f>IF($C$8=0,"",Resultat!E151)</f>
        <v/>
      </c>
      <c r="H53" s="61"/>
    </row>
    <row r="54" spans="1:8" ht="24.95" customHeight="1" x14ac:dyDescent="0.25">
      <c r="A54" s="61"/>
      <c r="B54" s="59"/>
      <c r="C54" s="315"/>
      <c r="D54" s="315"/>
      <c r="E54" s="315"/>
      <c r="F54" s="315"/>
      <c r="G54" s="316"/>
      <c r="H54" s="61"/>
    </row>
    <row r="55" spans="1:8" ht="14.1" customHeight="1" x14ac:dyDescent="0.2">
      <c r="A55" s="61"/>
      <c r="B55" s="60" t="str">
        <f>IF(OR($C$8=$J$11,$C$8=$J$12),Resultat!A138,"")</f>
        <v/>
      </c>
      <c r="C55" s="315"/>
      <c r="D55" s="315"/>
      <c r="E55" s="315"/>
      <c r="F55" s="315"/>
      <c r="G55" s="316"/>
      <c r="H55" s="61"/>
    </row>
    <row r="56" spans="1:8" ht="24.95" customHeight="1" x14ac:dyDescent="0.2">
      <c r="A56" s="61"/>
      <c r="B56" s="285" t="str">
        <f>IF(OR($C$8=$J$11,$C$8=$J$12),Resultat!A139,"")</f>
        <v/>
      </c>
      <c r="C56" s="304" t="str">
        <f>IF(OR($C$8=$J$11,$C$8=$J$12),'B. Ambulance'!B79,"")</f>
        <v/>
      </c>
      <c r="D56" s="304"/>
      <c r="E56" s="304" t="str">
        <f>IF(OR($C$8=$J$11,$C$8=$J$12),'B. Ambulance'!D79,"")</f>
        <v/>
      </c>
      <c r="F56" s="304"/>
      <c r="G56" s="304" t="str">
        <f>IF(OR($C$8=$J$11,$C$8=$J$12),'B. Ambulance'!F79,"")</f>
        <v/>
      </c>
      <c r="H56" s="61"/>
    </row>
    <row r="57" spans="1:8" ht="14.1" customHeight="1" x14ac:dyDescent="0.2">
      <c r="A57" s="61"/>
      <c r="B57" s="285"/>
      <c r="C57" s="285"/>
      <c r="D57" s="285"/>
      <c r="E57" s="285"/>
      <c r="F57" s="285"/>
      <c r="G57" s="285"/>
      <c r="H57" s="61"/>
    </row>
    <row r="58" spans="1:8" ht="37.5" customHeight="1" x14ac:dyDescent="0.2">
      <c r="A58" s="61"/>
      <c r="B58" s="285" t="str">
        <f>IF(OR($C$8=$J$11,$C$8=$J$12),Resultat!A140,"")</f>
        <v/>
      </c>
      <c r="C58" s="304" t="str">
        <f>IF(OR($C$8=$J$11,$C$8=$J$12),'B. Ambulance'!B80,"")</f>
        <v/>
      </c>
      <c r="D58" s="304"/>
      <c r="E58" s="304" t="str">
        <f>IF(OR($C$8=$J$11,$C$8=$J$12),'B. Ambulance'!D80,"")</f>
        <v/>
      </c>
      <c r="F58" s="304"/>
      <c r="G58" s="304" t="str">
        <f>IF(OR($C$8=$J$11,$C$8=$J$12),'B. Ambulance'!F80,"")</f>
        <v/>
      </c>
      <c r="H58" s="61"/>
    </row>
    <row r="59" spans="1:8" ht="14.1" customHeight="1" x14ac:dyDescent="0.2">
      <c r="A59" s="61"/>
      <c r="B59" s="285"/>
      <c r="C59" s="285"/>
      <c r="D59" s="285"/>
      <c r="E59" s="285"/>
      <c r="F59" s="285"/>
      <c r="G59" s="285"/>
      <c r="H59" s="61"/>
    </row>
    <row r="60" spans="1:8" ht="12.6" customHeight="1" x14ac:dyDescent="0.2">
      <c r="A60" s="61"/>
      <c r="B60" s="285" t="str">
        <f>IF(OR($C$8=$J$11,$C$8=$J$12),Resultat!A141,"")</f>
        <v/>
      </c>
      <c r="C60" s="304" t="str">
        <f>IF(OR($C$8=$J$11,$C$8=$J$12),'B. Ambulance'!B81,"")</f>
        <v/>
      </c>
      <c r="D60" s="304"/>
      <c r="E60" s="304" t="str">
        <f>IF(OR($C$8=$J$11,$C$8=$J$12),'B. Ambulance'!D81,"")</f>
        <v/>
      </c>
      <c r="F60" s="304"/>
      <c r="G60" s="304" t="str">
        <f>IF(OR($C$8=$J$11,$C$8=$J$12),'B. Ambulance'!F81,"")</f>
        <v/>
      </c>
      <c r="H60" s="61"/>
    </row>
    <row r="61" spans="1:8" ht="14.1" customHeight="1" x14ac:dyDescent="0.2">
      <c r="A61" s="61"/>
      <c r="B61" s="285"/>
      <c r="C61" s="285"/>
      <c r="D61" s="285"/>
      <c r="E61" s="285"/>
      <c r="F61" s="285"/>
      <c r="G61" s="285"/>
      <c r="H61" s="61"/>
    </row>
    <row r="62" spans="1:8" ht="24.95" customHeight="1" x14ac:dyDescent="0.2">
      <c r="A62" s="61"/>
      <c r="B62" s="285" t="str">
        <f>IF(OR($C$8=$J$11,$C$8=$J$12),Resultat!A142,"")</f>
        <v/>
      </c>
      <c r="C62" s="304" t="str">
        <f>IF(OR($C$8=$J$11,$C$8=$J$12),'B. Ambulance'!B82,"")</f>
        <v/>
      </c>
      <c r="D62" s="304"/>
      <c r="E62" s="304" t="str">
        <f>IF(OR($C$8=$J$11,$C$8=$J$12),'B. Ambulance'!D82,"")</f>
        <v/>
      </c>
      <c r="F62" s="304"/>
      <c r="G62" s="304" t="str">
        <f>IF(OR($C$8=$J$11,$C$8=$J$12),'B. Ambulance'!F82,"")</f>
        <v/>
      </c>
      <c r="H62" s="61"/>
    </row>
    <row r="63" spans="1:8" ht="14.1" customHeight="1" x14ac:dyDescent="0.2">
      <c r="A63" s="61"/>
      <c r="B63" s="285"/>
      <c r="C63" s="285"/>
      <c r="D63" s="285"/>
      <c r="E63" s="285"/>
      <c r="F63" s="285"/>
      <c r="G63" s="285"/>
      <c r="H63" s="61"/>
    </row>
    <row r="64" spans="1:8" x14ac:dyDescent="0.2">
      <c r="A64" s="285" t="str">
        <f>IF(OR($C$8=$J$11,$C$8=$J$12),Resultat!#REF!,"")</f>
        <v/>
      </c>
      <c r="B64" s="285" t="str">
        <f>IF(OR($C$8=$J$11,$C$8=$J$12),Resultat!A143,"")</f>
        <v/>
      </c>
      <c r="C64" s="304" t="str">
        <f>IF(OR($C$8=$J$11,$C$8=$J$12),'B. Ambulance'!B83,"")</f>
        <v/>
      </c>
      <c r="D64" s="304"/>
      <c r="E64" s="304" t="str">
        <f>IF(OR($C$8=$J$11,$C$8=$J$12),'B. Ambulance'!D83,"")</f>
        <v/>
      </c>
      <c r="F64" s="304"/>
      <c r="G64" s="304" t="str">
        <f>IF(OR($C$8=$J$11,$C$8=$J$12),'B. Ambulance'!F83,"")</f>
        <v/>
      </c>
      <c r="H64" s="61"/>
    </row>
    <row r="65" spans="1:8" x14ac:dyDescent="0.2">
      <c r="A65" s="97"/>
      <c r="B65" s="97"/>
      <c r="C65" s="61"/>
      <c r="D65" s="61"/>
      <c r="E65" s="61"/>
      <c r="F65" s="61"/>
      <c r="G65" s="61"/>
      <c r="H65" s="61"/>
    </row>
  </sheetData>
  <sheetProtection algorithmName="SHA-512" hashValue="L4AFF1pUKiaKg/CzYmVdFDQIEsZpaM9YykygOAS3C/LrkspXGqFXEwEknG6hIRCZCdBGg49eJrse6rHuCqIwBg==" saltValue="h/4zV2k7cqYzBrycuqljTQ==" spinCount="100000" sheet="1" objects="1" scenarios="1"/>
  <mergeCells count="19">
    <mergeCell ref="C18:E18"/>
    <mergeCell ref="C19:E19"/>
    <mergeCell ref="J17:K17"/>
    <mergeCell ref="C14:E14"/>
    <mergeCell ref="C15:E15"/>
    <mergeCell ref="C16:E16"/>
    <mergeCell ref="C17:E17"/>
    <mergeCell ref="M8:P8"/>
    <mergeCell ref="C9:E9"/>
    <mergeCell ref="C10:E10"/>
    <mergeCell ref="C11:E11"/>
    <mergeCell ref="C12:E12"/>
    <mergeCell ref="C13:E13"/>
    <mergeCell ref="A1:H1"/>
    <mergeCell ref="A2:H2"/>
    <mergeCell ref="A3:H3"/>
    <mergeCell ref="A4:H4"/>
    <mergeCell ref="A5:H5"/>
    <mergeCell ref="C8:E8"/>
  </mergeCells>
  <dataValidations count="1">
    <dataValidation type="list" allowBlank="1" showInputMessage="1" showErrorMessage="1" errorTitle="Fejl" error="Der skal vælges fra liste" sqref="C8:E8" xr:uid="{8AD88085-958C-4CDC-B0DB-F45B28A4C2B4}">
      <formula1>$J$10:$J$16</formula1>
    </dataValidation>
  </dataValidations>
  <printOptions horizontalCentered="1"/>
  <pageMargins left="0.78740157480314965" right="0.78740157480314965" top="0.59055118110236227" bottom="7.874015748031496E-2" header="0.59055118110236227" footer="0.19685039370078741"/>
  <pageSetup paperSize="9" orientation="portrait" draft="1" r:id="rId1"/>
  <headerFooter alignWithMargins="0"/>
  <ignoredErrors>
    <ignoredError sqref="C33:G33 D34 F34" formula="1"/>
    <ignoredError sqref="B2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6F62B32-59A9-4230-B6E1-71342909B7E9}">
          <x14:formula1>
            <xm:f>'C. Brand'!$A$23:$A$34</xm:f>
          </x14:formula1>
          <xm:sqref>C19:E19</xm:sqref>
        </x14:dataValidation>
        <x14:dataValidation type="list" allowBlank="1" showInputMessage="1" showErrorMessage="1" xr:uid="{E3222FCD-1267-4931-9EEE-B39204BB2361}">
          <x14:formula1>
            <xm:f>'B. Ambulance'!$A$40:$A$59</xm:f>
          </x14:formula1>
          <xm:sqref>C18:E18</xm:sqref>
        </x14:dataValidation>
        <x14:dataValidation type="list" allowBlank="1" showInputMessage="1" showErrorMessage="1" xr:uid="{A3996EC0-F2E4-4589-A4C1-60DF656D7B27}">
          <x14:formula1>
            <xm:f>'F. Assistance 2'!$A$15:$A$22</xm:f>
          </x14:formula1>
          <xm:sqref>C16:E16</xm:sqref>
        </x14:dataValidation>
        <x14:dataValidation type="list" allowBlank="1" showInputMessage="1" showErrorMessage="1" xr:uid="{114E54C2-3195-4F40-8980-ACC13F766B0C}">
          <x14:formula1>
            <xm:f>'F. Assistance 1'!$A$22:$A$25</xm:f>
          </x14:formula1>
          <xm:sqref>C15:E15</xm:sqref>
        </x14:dataValidation>
        <x14:dataValidation type="list" allowBlank="1" showInputMessage="1" showErrorMessage="1" xr:uid="{0EC7EFDD-D1B9-44B4-9248-7EC37139846C}">
          <x14:formula1>
            <xm:f>'E. PTR (persontransport)'!$A$14:$A$16</xm:f>
          </x14:formula1>
          <xm:sqref>C14:E14</xm:sqref>
        </x14:dataValidation>
        <x14:dataValidation type="list" allowBlank="1" showInputMessage="1" showErrorMessage="1" xr:uid="{A10F62AB-9032-470E-B27E-C69F8DA3E27D}">
          <x14:formula1>
            <xm:f>'D. Liggende sygetransport'!$A$16:$A$19</xm:f>
          </x14:formula1>
          <xm:sqref>C13:E13</xm:sqref>
        </x14:dataValidation>
        <x14:dataValidation type="list" allowBlank="1" showInputMessage="1" showErrorMessage="1" xr:uid="{9651021F-F41E-4398-94FA-6C5FB546E0AD}">
          <x14:formula1>
            <xm:f>'C. Brand'!$A$16:$A$19</xm:f>
          </x14:formula1>
          <xm:sqref>C12:E12</xm:sqref>
        </x14:dataValidation>
        <x14:dataValidation type="list" allowBlank="1" showInputMessage="1" showErrorMessage="1" xr:uid="{C5E6BDB4-AEB8-4B0A-8C81-C2C5371D6CC3}">
          <x14:formula1>
            <xm:f>'B. Ambulance'!$A$22:$A$36</xm:f>
          </x14:formula1>
          <xm:sqref>C11</xm:sqref>
        </x14:dataValidation>
        <x14:dataValidation type="list" allowBlank="1" showInputMessage="1" showErrorMessage="1" xr:uid="{65E438EF-9AFA-4B41-ADC1-FC5EDABFEE75}">
          <x14:formula1>
            <xm:f>'B. Ambulance'!$A$14:$A$17</xm:f>
          </x14:formula1>
          <xm:sqref>C9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3FCB-7248-4CA4-8482-4BEC99FD4750}">
  <dimension ref="A1:J83"/>
  <sheetViews>
    <sheetView showGridLine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">
        <v>119</v>
      </c>
      <c r="B1" s="374"/>
      <c r="C1" s="374"/>
      <c r="D1" s="374"/>
      <c r="E1" s="374"/>
      <c r="F1" s="374"/>
    </row>
    <row r="2" spans="1:10" ht="20.25" x14ac:dyDescent="0.3">
      <c r="A2" s="385" t="s">
        <v>118</v>
      </c>
      <c r="B2" s="374"/>
      <c r="C2" s="374"/>
      <c r="D2" s="374"/>
      <c r="E2" s="374"/>
      <c r="F2" s="374"/>
    </row>
    <row r="3" spans="1:10" ht="20.25" customHeight="1" x14ac:dyDescent="0.3">
      <c r="A3" s="385" t="s">
        <v>26</v>
      </c>
      <c r="B3" s="374"/>
      <c r="C3" s="374"/>
      <c r="D3" s="374"/>
      <c r="E3" s="374"/>
      <c r="F3" s="374"/>
    </row>
    <row r="4" spans="1:10" ht="20.25" x14ac:dyDescent="0.3">
      <c r="A4" s="385" t="s">
        <v>43</v>
      </c>
      <c r="B4" s="374"/>
      <c r="C4" s="374"/>
      <c r="D4" s="374"/>
      <c r="E4" s="374"/>
      <c r="F4" s="374"/>
    </row>
    <row r="5" spans="1:10" x14ac:dyDescent="0.2">
      <c r="A5" s="386" t="s">
        <v>3</v>
      </c>
      <c r="B5" s="386"/>
      <c r="C5" s="386"/>
      <c r="D5" s="386"/>
      <c r="E5" s="361"/>
      <c r="F5" s="361"/>
      <c r="G5" s="169"/>
      <c r="H5" s="169"/>
      <c r="I5" s="169"/>
      <c r="J5" s="169"/>
    </row>
    <row r="6" spans="1:10" x14ac:dyDescent="0.2">
      <c r="A6" s="169"/>
      <c r="B6" s="169"/>
      <c r="C6" s="169"/>
      <c r="D6" s="169"/>
      <c r="E6" s="170"/>
      <c r="F6" s="170"/>
      <c r="G6" s="169"/>
      <c r="H6" s="169"/>
      <c r="I6" s="169"/>
      <c r="J6" s="169"/>
    </row>
    <row r="7" spans="1:10" ht="15.75" x14ac:dyDescent="0.25">
      <c r="A7" s="171" t="s">
        <v>25</v>
      </c>
      <c r="B7" s="171" t="str">
        <f>Stigninger!A8</f>
        <v>A. Ambulanceassistent</v>
      </c>
      <c r="C7" s="169"/>
      <c r="D7" s="169"/>
      <c r="E7" s="170"/>
      <c r="F7" s="170"/>
      <c r="G7" s="169"/>
      <c r="H7" s="169"/>
      <c r="I7" s="169"/>
      <c r="J7" s="169"/>
    </row>
    <row r="8" spans="1:10" ht="15.75" x14ac:dyDescent="0.25">
      <c r="A8" s="172"/>
      <c r="B8" s="171" t="str">
        <f>Stigninger!A9</f>
        <v>B. Ambulancebehandler</v>
      </c>
      <c r="C8" s="169"/>
      <c r="D8" s="169"/>
      <c r="E8" s="170"/>
      <c r="F8" s="170"/>
      <c r="G8" s="169"/>
      <c r="H8" s="169"/>
      <c r="I8" s="169"/>
      <c r="J8" s="169"/>
    </row>
    <row r="9" spans="1:10" ht="15.75" x14ac:dyDescent="0.25">
      <c r="A9" s="172"/>
      <c r="B9" s="171" t="str">
        <f>Stigninger!A10</f>
        <v>C. Paramediciner</v>
      </c>
      <c r="C9" s="169"/>
      <c r="D9" s="169"/>
      <c r="E9" s="170"/>
      <c r="F9" s="170"/>
      <c r="G9" s="169"/>
      <c r="H9" s="169"/>
      <c r="I9" s="169"/>
      <c r="J9" s="169"/>
    </row>
    <row r="11" spans="1:10" ht="15.75" x14ac:dyDescent="0.25">
      <c r="A11" s="64"/>
      <c r="B11" s="65" t="s">
        <v>40</v>
      </c>
      <c r="C11" s="65"/>
      <c r="D11" s="65" t="s">
        <v>41</v>
      </c>
      <c r="E11" s="65"/>
      <c r="F11" s="65" t="s">
        <v>42</v>
      </c>
    </row>
    <row r="12" spans="1:10" ht="15.75" x14ac:dyDescent="0.25">
      <c r="A12" s="64" t="str">
        <f>Resultat!A3</f>
        <v>Grundløn, pr. måned</v>
      </c>
      <c r="B12" s="62">
        <f>Resultat!C3</f>
        <v>25449.85</v>
      </c>
      <c r="C12" s="62"/>
      <c r="D12" s="62">
        <f>Resultat!D3</f>
        <v>25962.91</v>
      </c>
      <c r="E12" s="62"/>
      <c r="F12" s="62">
        <f>Resultat!E3</f>
        <v>26467.95</v>
      </c>
    </row>
    <row r="13" spans="1:10" ht="15.75" x14ac:dyDescent="0.25">
      <c r="A13" s="64" t="str">
        <f>Resultat!A4</f>
        <v>Kvalifikationsløn</v>
      </c>
      <c r="B13" s="62"/>
      <c r="C13" s="62"/>
      <c r="D13" s="62"/>
      <c r="E13" s="62"/>
      <c r="F13" s="62"/>
    </row>
    <row r="14" spans="1:10" x14ac:dyDescent="0.2">
      <c r="A14" s="66" t="str">
        <f>Resultat!A5</f>
        <v>A. Ambulanceassistent</v>
      </c>
      <c r="B14" s="62">
        <f>Resultat!C5</f>
        <v>1033.8699999999999</v>
      </c>
      <c r="C14" s="62"/>
      <c r="D14" s="62">
        <f>Resultat!D5</f>
        <v>1033.8699999999999</v>
      </c>
      <c r="E14" s="62"/>
      <c r="F14" s="62">
        <f>Resultat!E5</f>
        <v>1033.8699999999999</v>
      </c>
    </row>
    <row r="15" spans="1:10" x14ac:dyDescent="0.2">
      <c r="A15" s="66" t="str">
        <f>Resultat!A6</f>
        <v>B. Ambulancebehandler</v>
      </c>
      <c r="B15" s="62">
        <f>Resultat!C6</f>
        <v>2023.94</v>
      </c>
      <c r="C15" s="62"/>
      <c r="D15" s="62">
        <f>Resultat!D6</f>
        <v>2023.94</v>
      </c>
      <c r="E15" s="62"/>
      <c r="F15" s="62">
        <f>Resultat!E6</f>
        <v>2023.94</v>
      </c>
    </row>
    <row r="16" spans="1:10" x14ac:dyDescent="0.2">
      <c r="A16" s="66" t="str">
        <f>Resultat!A7</f>
        <v>C. Paramediciner</v>
      </c>
      <c r="B16" s="62">
        <f>Resultat!C7</f>
        <v>2453.65</v>
      </c>
      <c r="C16" s="62"/>
      <c r="D16" s="62">
        <f>Resultat!D7</f>
        <v>2453.65</v>
      </c>
      <c r="E16" s="62"/>
      <c r="F16" s="62">
        <f>Resultat!E7</f>
        <v>2453.65</v>
      </c>
    </row>
    <row r="17" spans="1:6" x14ac:dyDescent="0.2">
      <c r="A17" s="67"/>
      <c r="B17" s="62"/>
      <c r="C17" s="62"/>
      <c r="D17" s="62"/>
      <c r="E17" s="62"/>
      <c r="F17" s="62"/>
    </row>
    <row r="18" spans="1:6" ht="15.75" x14ac:dyDescent="0.25">
      <c r="A18" s="64" t="str">
        <f>Resultat!A8</f>
        <v>Reddertillæg</v>
      </c>
      <c r="B18" s="62">
        <f>Resultat!C8</f>
        <v>792</v>
      </c>
      <c r="C18" s="62"/>
      <c r="D18" s="62">
        <f>Resultat!D8</f>
        <v>792</v>
      </c>
      <c r="E18" s="62"/>
      <c r="F18" s="62">
        <f>Resultat!E8</f>
        <v>792</v>
      </c>
    </row>
    <row r="19" spans="1:6" ht="15.75" x14ac:dyDescent="0.25">
      <c r="A19" s="64" t="str">
        <f>Resultat!A9</f>
        <v>Særligt tillæg</v>
      </c>
      <c r="B19" s="62">
        <f>Resultat!C9</f>
        <v>112</v>
      </c>
      <c r="C19" s="62"/>
      <c r="D19" s="62">
        <f>Resultat!D9</f>
        <v>112</v>
      </c>
      <c r="E19" s="62"/>
      <c r="F19" s="62">
        <f>Resultat!E9</f>
        <v>112</v>
      </c>
    </row>
    <row r="20" spans="1:6" ht="15" customHeight="1" x14ac:dyDescent="0.25">
      <c r="A20" s="64"/>
      <c r="B20" s="62"/>
      <c r="C20" s="62"/>
      <c r="D20" s="62"/>
      <c r="E20" s="62"/>
      <c r="F20" s="62"/>
    </row>
    <row r="21" spans="1:6" ht="15.75" x14ac:dyDescent="0.25">
      <c r="A21" s="64" t="str">
        <f>Resultat!A10</f>
        <v>Anciennitetstillæg</v>
      </c>
      <c r="B21" s="85" t="str">
        <f>$B$11</f>
        <v>1. marts 2020</v>
      </c>
      <c r="C21" s="85"/>
      <c r="D21" s="85" t="str">
        <f>$D$11</f>
        <v>1. marts 2021</v>
      </c>
      <c r="E21" s="85"/>
      <c r="F21" s="85" t="str">
        <f>$F$11</f>
        <v>1. marts 2022</v>
      </c>
    </row>
    <row r="22" spans="1:6" x14ac:dyDescent="0.2">
      <c r="A22" s="66" t="str">
        <f>Resultat!A11</f>
        <v>01. Nyansatte</v>
      </c>
      <c r="B22" s="62">
        <f>Resultat!C11</f>
        <v>0</v>
      </c>
      <c r="C22" s="62"/>
      <c r="D22" s="62">
        <f>Resultat!D11</f>
        <v>0</v>
      </c>
      <c r="E22" s="62"/>
      <c r="F22" s="62">
        <f>Resultat!E11</f>
        <v>0</v>
      </c>
    </row>
    <row r="23" spans="1:6" x14ac:dyDescent="0.2">
      <c r="A23" s="66" t="str">
        <f>Resultat!A12</f>
        <v>02. Efter 1 års tjeneste</v>
      </c>
      <c r="B23" s="62">
        <f>Resultat!C12</f>
        <v>0</v>
      </c>
      <c r="C23" s="62"/>
      <c r="D23" s="62">
        <f>Resultat!D12</f>
        <v>0</v>
      </c>
      <c r="E23" s="62"/>
      <c r="F23" s="62">
        <f>Resultat!E12</f>
        <v>0</v>
      </c>
    </row>
    <row r="24" spans="1:6" x14ac:dyDescent="0.2">
      <c r="A24" s="66" t="str">
        <f>Resultat!A13</f>
        <v>03. Efter 2 års tjeneste</v>
      </c>
      <c r="B24" s="62">
        <f>Resultat!C13</f>
        <v>1052.1500000000001</v>
      </c>
      <c r="C24" s="62"/>
      <c r="D24" s="62">
        <f>Resultat!D13</f>
        <v>1052.1500000000001</v>
      </c>
      <c r="E24" s="62"/>
      <c r="F24" s="62">
        <f>Resultat!E13</f>
        <v>1052.1500000000001</v>
      </c>
    </row>
    <row r="25" spans="1:6" x14ac:dyDescent="0.2">
      <c r="A25" s="66" t="str">
        <f>Resultat!A14</f>
        <v>04. Efter 3 års tjeneste</v>
      </c>
      <c r="B25" s="62">
        <f>Resultat!C14</f>
        <v>1104.9000000000001</v>
      </c>
      <c r="C25" s="62"/>
      <c r="D25" s="62">
        <f>Resultat!D14</f>
        <v>1104.9000000000001</v>
      </c>
      <c r="E25" s="62"/>
      <c r="F25" s="62">
        <f>Resultat!E14</f>
        <v>1104.9000000000001</v>
      </c>
    </row>
    <row r="26" spans="1:6" x14ac:dyDescent="0.2">
      <c r="A26" s="66" t="str">
        <f>Resultat!A15</f>
        <v>05. Efter 4 års tjeneste</v>
      </c>
      <c r="B26" s="62">
        <f>Resultat!C15</f>
        <v>1104.9000000000001</v>
      </c>
      <c r="C26" s="62"/>
      <c r="D26" s="62">
        <f>Resultat!D15</f>
        <v>1104.9000000000001</v>
      </c>
      <c r="E26" s="62"/>
      <c r="F26" s="62">
        <f>Resultat!E15</f>
        <v>1104.9000000000001</v>
      </c>
    </row>
    <row r="27" spans="1:6" x14ac:dyDescent="0.2">
      <c r="A27" s="66" t="str">
        <f>Resultat!A16</f>
        <v>06. Efter 5 års tjeneste</v>
      </c>
      <c r="B27" s="62">
        <f>Resultat!C16</f>
        <v>1210.4000000000001</v>
      </c>
      <c r="C27" s="62"/>
      <c r="D27" s="62">
        <f>Resultat!D16</f>
        <v>1210.4000000000001</v>
      </c>
      <c r="E27" s="62"/>
      <c r="F27" s="62">
        <f>Resultat!E16</f>
        <v>1210.4000000000001</v>
      </c>
    </row>
    <row r="28" spans="1:6" x14ac:dyDescent="0.2">
      <c r="A28" s="66" t="str">
        <f>Resultat!A17</f>
        <v>07. Efter 6 års tjeneste</v>
      </c>
      <c r="B28" s="62">
        <f>Resultat!C17</f>
        <v>1210.4000000000001</v>
      </c>
      <c r="C28" s="62"/>
      <c r="D28" s="62">
        <f>Resultat!D17</f>
        <v>1210.4000000000001</v>
      </c>
      <c r="E28" s="62"/>
      <c r="F28" s="62">
        <f>Resultat!E17</f>
        <v>1210.4000000000001</v>
      </c>
    </row>
    <row r="29" spans="1:6" x14ac:dyDescent="0.2">
      <c r="A29" s="66" t="str">
        <f>Resultat!A18</f>
        <v>08. Efter 7 års tjeneste</v>
      </c>
      <c r="B29" s="62">
        <f>Resultat!C18</f>
        <v>1268.43</v>
      </c>
      <c r="C29" s="62"/>
      <c r="D29" s="62">
        <f>Resultat!D18</f>
        <v>1268.43</v>
      </c>
      <c r="E29" s="62"/>
      <c r="F29" s="62">
        <f>Resultat!E18</f>
        <v>1268.43</v>
      </c>
    </row>
    <row r="30" spans="1:6" x14ac:dyDescent="0.2">
      <c r="A30" s="66" t="str">
        <f>Resultat!A19</f>
        <v>09. Efter 8 års tjeneste</v>
      </c>
      <c r="B30" s="62">
        <f>Resultat!C19</f>
        <v>1268.43</v>
      </c>
      <c r="C30" s="62"/>
      <c r="D30" s="62">
        <f>Resultat!D19</f>
        <v>1268.43</v>
      </c>
      <c r="E30" s="62"/>
      <c r="F30" s="62">
        <f>Resultat!E19</f>
        <v>1268.43</v>
      </c>
    </row>
    <row r="31" spans="1:6" x14ac:dyDescent="0.2">
      <c r="A31" s="66" t="str">
        <f>Resultat!A20</f>
        <v>10. Efter 9 års tjeneste</v>
      </c>
      <c r="B31" s="62">
        <f>Resultat!C20</f>
        <v>1326.45</v>
      </c>
      <c r="C31" s="62"/>
      <c r="D31" s="62">
        <f>Resultat!D20</f>
        <v>1326.45</v>
      </c>
      <c r="E31" s="62"/>
      <c r="F31" s="62">
        <f>Resultat!E20</f>
        <v>1326.45</v>
      </c>
    </row>
    <row r="32" spans="1:6" x14ac:dyDescent="0.2">
      <c r="A32" s="66" t="str">
        <f>Resultat!A21</f>
        <v>11. Efter 10 års tjeneste</v>
      </c>
      <c r="B32" s="62">
        <f>Resultat!C21</f>
        <v>1326.45</v>
      </c>
      <c r="C32" s="62"/>
      <c r="D32" s="62">
        <f>Resultat!D21</f>
        <v>1326.45</v>
      </c>
      <c r="E32" s="62"/>
      <c r="F32" s="62">
        <f>Resultat!E21</f>
        <v>1326.45</v>
      </c>
    </row>
    <row r="33" spans="1:6" x14ac:dyDescent="0.2">
      <c r="A33" s="66" t="str">
        <f>Resultat!A22</f>
        <v>12. Efter 11 års tjeneste</v>
      </c>
      <c r="B33" s="62">
        <f>Resultat!C22</f>
        <v>1379.2</v>
      </c>
      <c r="C33" s="62"/>
      <c r="D33" s="62">
        <f>Resultat!D22</f>
        <v>1379.2</v>
      </c>
      <c r="E33" s="62"/>
      <c r="F33" s="62">
        <f>Resultat!E22</f>
        <v>1379.2</v>
      </c>
    </row>
    <row r="34" spans="1:6" x14ac:dyDescent="0.2">
      <c r="A34" s="66" t="str">
        <f>Resultat!A23</f>
        <v>13. Efter 12 års tjeneste</v>
      </c>
      <c r="B34" s="62">
        <f>Resultat!C23</f>
        <v>1379.2</v>
      </c>
      <c r="C34" s="62"/>
      <c r="D34" s="62">
        <f>Resultat!D23</f>
        <v>1379.2</v>
      </c>
      <c r="E34" s="62"/>
      <c r="F34" s="62">
        <f>Resultat!E23</f>
        <v>1379.2</v>
      </c>
    </row>
    <row r="35" spans="1:6" x14ac:dyDescent="0.2">
      <c r="A35" s="66" t="str">
        <f>Resultat!A24</f>
        <v>14. Efter 13 års tjeneste</v>
      </c>
      <c r="B35" s="62">
        <f>Resultat!C24</f>
        <v>1442.5</v>
      </c>
      <c r="C35" s="62"/>
      <c r="D35" s="62">
        <f>Resultat!D24</f>
        <v>1442.5</v>
      </c>
      <c r="E35" s="62"/>
      <c r="F35" s="62">
        <f>Resultat!E24</f>
        <v>1442.5</v>
      </c>
    </row>
    <row r="36" spans="1:6" x14ac:dyDescent="0.2">
      <c r="A36" s="66"/>
      <c r="B36" s="62"/>
      <c r="C36" s="62"/>
      <c r="D36" s="62"/>
      <c r="E36" s="62"/>
      <c r="F36" s="62"/>
    </row>
    <row r="37" spans="1:6" ht="15.75" x14ac:dyDescent="0.25">
      <c r="A37" s="64" t="str">
        <f>Resultat!A25</f>
        <v>Geneløn ekskl. helligdagstillæg</v>
      </c>
      <c r="B37" s="71"/>
      <c r="C37" s="71"/>
      <c r="D37" s="71"/>
      <c r="E37" s="71"/>
      <c r="F37" s="71"/>
    </row>
    <row r="38" spans="1:6" x14ac:dyDescent="0.2">
      <c r="A38" s="66" t="str">
        <f>Resultat!A26</f>
        <v>Gældende for hovedvagter</v>
      </c>
      <c r="B38" s="71"/>
      <c r="C38" s="71"/>
      <c r="D38" s="71"/>
      <c r="E38" s="71"/>
      <c r="F38" s="71"/>
    </row>
    <row r="39" spans="1:6" ht="15.75" x14ac:dyDescent="0.25">
      <c r="A39" s="64" t="str">
        <f>Resultat!A28</f>
        <v>Vagtordning</v>
      </c>
      <c r="B39" s="85" t="str">
        <f>$B$11</f>
        <v>1. marts 2020</v>
      </c>
      <c r="C39" s="85"/>
      <c r="D39" s="85" t="str">
        <f>$D$11</f>
        <v>1. marts 2021</v>
      </c>
      <c r="E39" s="85"/>
      <c r="F39" s="85" t="str">
        <f>$F$11</f>
        <v>1. marts 2022</v>
      </c>
    </row>
    <row r="40" spans="1:6" x14ac:dyDescent="0.2">
      <c r="A40" s="67" t="str">
        <f>Resultat!A29</f>
        <v>01. Dagvagt</v>
      </c>
      <c r="B40" s="71">
        <f>Resultat!C29</f>
        <v>0</v>
      </c>
      <c r="C40" s="71"/>
      <c r="D40" s="71">
        <f>Resultat!D29</f>
        <v>0</v>
      </c>
      <c r="E40" s="71"/>
      <c r="F40" s="71">
        <f>Resultat!E29</f>
        <v>0</v>
      </c>
    </row>
    <row r="41" spans="1:6" x14ac:dyDescent="0.2">
      <c r="A41" s="67" t="str">
        <f>Resultat!A30</f>
        <v>02. 2-skiftet vagt</v>
      </c>
      <c r="B41" s="71">
        <f>Resultat!C30</f>
        <v>1000.09</v>
      </c>
      <c r="C41" s="71"/>
      <c r="D41" s="71">
        <f>Resultat!D30</f>
        <v>1016.09</v>
      </c>
      <c r="E41" s="71"/>
      <c r="F41" s="71">
        <f>Resultat!E30</f>
        <v>1032.3500000000001</v>
      </c>
    </row>
    <row r="42" spans="1:6" x14ac:dyDescent="0.2">
      <c r="A42" s="67" t="str">
        <f>Resultat!A31</f>
        <v>03. 3+2+2-vagt</v>
      </c>
      <c r="B42" s="71">
        <f>Resultat!C31</f>
        <v>2439.29</v>
      </c>
      <c r="C42" s="71"/>
      <c r="D42" s="71">
        <f>Resultat!D31</f>
        <v>2478.3200000000002</v>
      </c>
      <c r="E42" s="71"/>
      <c r="F42" s="71">
        <f>Resultat!E31</f>
        <v>2517.9700000000003</v>
      </c>
    </row>
    <row r="43" spans="1:6" x14ac:dyDescent="0.2">
      <c r="A43" s="67" t="str">
        <f>Resultat!A32</f>
        <v>04. Dag/aftenvagt</v>
      </c>
      <c r="B43" s="71">
        <f>Resultat!C32</f>
        <v>2552.89</v>
      </c>
      <c r="C43" s="71"/>
      <c r="D43" s="71">
        <f>Resultat!D32</f>
        <v>2593.7399999999998</v>
      </c>
      <c r="E43" s="71"/>
      <c r="F43" s="71">
        <f>Resultat!E32</f>
        <v>2635.24</v>
      </c>
    </row>
    <row r="44" spans="1:6" x14ac:dyDescent="0.2">
      <c r="A44" s="67" t="str">
        <f>Resultat!A33</f>
        <v>05. DDAA-vagt</v>
      </c>
      <c r="B44" s="71">
        <f>Resultat!C33</f>
        <v>3007.02</v>
      </c>
      <c r="C44" s="71"/>
      <c r="D44" s="71">
        <f>Resultat!D33</f>
        <v>3055.13</v>
      </c>
      <c r="E44" s="71"/>
      <c r="F44" s="71">
        <f>Resultat!E33</f>
        <v>3104.01</v>
      </c>
    </row>
    <row r="45" spans="1:6" x14ac:dyDescent="0.2">
      <c r="A45" s="67" t="str">
        <f>Resultat!A34</f>
        <v>06. DDN-vagt</v>
      </c>
      <c r="B45" s="71">
        <f>Resultat!C34</f>
        <v>3487.7000000000003</v>
      </c>
      <c r="C45" s="71"/>
      <c r="D45" s="71">
        <f>Resultat!D34</f>
        <v>3543.5000000000005</v>
      </c>
      <c r="E45" s="71"/>
      <c r="F45" s="71">
        <f>Resultat!E34</f>
        <v>3600.2000000000003</v>
      </c>
    </row>
    <row r="46" spans="1:6" x14ac:dyDescent="0.2">
      <c r="A46" s="67" t="str">
        <f>Resultat!A35</f>
        <v>07A. Døgnvagt</v>
      </c>
      <c r="B46" s="71">
        <f>Resultat!C35</f>
        <v>3851.38</v>
      </c>
      <c r="C46" s="71"/>
      <c r="D46" s="71">
        <f>Resultat!D35</f>
        <v>3913</v>
      </c>
      <c r="E46" s="71"/>
      <c r="F46" s="71">
        <f>Resultat!E35</f>
        <v>3975.61</v>
      </c>
    </row>
    <row r="47" spans="1:6" x14ac:dyDescent="0.2">
      <c r="A47" s="68" t="str">
        <f>Resultat!A36</f>
        <v>07B1. Garantidøgnvagt DV9</v>
      </c>
      <c r="B47" s="71">
        <f>Resultat!C36</f>
        <v>4211.16</v>
      </c>
      <c r="C47" s="71"/>
      <c r="D47" s="71">
        <f>Resultat!D36</f>
        <v>4278.54</v>
      </c>
      <c r="E47" s="71"/>
      <c r="F47" s="71">
        <f>Resultat!E36</f>
        <v>4347</v>
      </c>
    </row>
    <row r="48" spans="1:6" x14ac:dyDescent="0.2">
      <c r="A48" s="68" t="str">
        <f>Resultat!A37</f>
        <v>07B2. Garantidøgnvagt DV10</v>
      </c>
      <c r="B48" s="71">
        <f>Resultat!C37</f>
        <v>4223.34</v>
      </c>
      <c r="C48" s="71"/>
      <c r="D48" s="71">
        <f>Resultat!D37</f>
        <v>4290.91</v>
      </c>
      <c r="E48" s="71"/>
      <c r="F48" s="71">
        <f>Resultat!E37</f>
        <v>4359.5599999999995</v>
      </c>
    </row>
    <row r="49" spans="1:6" x14ac:dyDescent="0.2">
      <c r="A49" s="68" t="str">
        <f>Resultat!A38</f>
        <v>07B3. Garantidøgnvagt DV11</v>
      </c>
      <c r="B49" s="71">
        <f>Resultat!C38</f>
        <v>4215.0600000000004</v>
      </c>
      <c r="C49" s="71"/>
      <c r="D49" s="71">
        <f>Resultat!D38</f>
        <v>4282.5</v>
      </c>
      <c r="E49" s="71"/>
      <c r="F49" s="71">
        <f>Resultat!E38</f>
        <v>4351.0200000000004</v>
      </c>
    </row>
    <row r="50" spans="1:6" x14ac:dyDescent="0.2">
      <c r="A50" s="68" t="str">
        <f>Resultat!A39</f>
        <v>07B4. Garantidøgnvagt DV12</v>
      </c>
      <c r="B50" s="71">
        <f>Resultat!C39</f>
        <v>4206.95</v>
      </c>
      <c r="C50" s="71"/>
      <c r="D50" s="71">
        <f>Resultat!D39</f>
        <v>4274.26</v>
      </c>
      <c r="E50" s="71"/>
      <c r="F50" s="71">
        <f>Resultat!E39</f>
        <v>4342.6500000000005</v>
      </c>
    </row>
    <row r="51" spans="1:6" x14ac:dyDescent="0.2">
      <c r="A51" s="68" t="str">
        <f>Resultat!A40</f>
        <v>07B5. Garantidøgnvagt DV13</v>
      </c>
      <c r="B51" s="71">
        <f>Resultat!C40</f>
        <v>4261.62</v>
      </c>
      <c r="C51" s="71"/>
      <c r="D51" s="71">
        <f>Resultat!D40</f>
        <v>4329.8099999999995</v>
      </c>
      <c r="E51" s="71"/>
      <c r="F51" s="71">
        <f>Resultat!E40</f>
        <v>4399.0899999999992</v>
      </c>
    </row>
    <row r="52" spans="1:6" x14ac:dyDescent="0.2">
      <c r="A52" s="67" t="str">
        <f>Resultat!A41</f>
        <v>08. 3-skiftet vagt</v>
      </c>
      <c r="B52" s="71">
        <f>Resultat!C41</f>
        <v>3280.9300000000003</v>
      </c>
      <c r="C52" s="71"/>
      <c r="D52" s="71">
        <f>Resultat!D41</f>
        <v>3333.42</v>
      </c>
      <c r="E52" s="71"/>
      <c r="F52" s="71">
        <f>Resultat!E41</f>
        <v>3386.75</v>
      </c>
    </row>
    <row r="53" spans="1:6" x14ac:dyDescent="0.2">
      <c r="A53" s="67" t="str">
        <f>Resultat!A42</f>
        <v>09. 3+2+2 med 3 A-vagter</v>
      </c>
      <c r="B53" s="71">
        <f>Resultat!C42</f>
        <v>2235.85</v>
      </c>
      <c r="C53" s="71"/>
      <c r="D53" s="71">
        <f>Resultat!D42</f>
        <v>2271.62</v>
      </c>
      <c r="E53" s="71"/>
      <c r="F53" s="71">
        <f>Resultat!E42</f>
        <v>2307.9699999999998</v>
      </c>
    </row>
    <row r="54" spans="1:6" x14ac:dyDescent="0.2">
      <c r="A54" s="67" t="str">
        <f>Resultat!A43</f>
        <v>09. 3+2+2 med 4 A-vagter</v>
      </c>
      <c r="B54" s="71">
        <f>Resultat!C43</f>
        <v>2137.0100000000002</v>
      </c>
      <c r="C54" s="71"/>
      <c r="D54" s="71">
        <f>Resultat!D43</f>
        <v>2171.2000000000003</v>
      </c>
      <c r="E54" s="71"/>
      <c r="F54" s="71">
        <f>Resultat!E43</f>
        <v>2205.94</v>
      </c>
    </row>
    <row r="55" spans="1:6" x14ac:dyDescent="0.2">
      <c r="A55" s="67" t="str">
        <f>Resultat!A44</f>
        <v>10. DN-vagt</v>
      </c>
      <c r="B55" s="71">
        <f>Resultat!C44</f>
        <v>4220.4800000000005</v>
      </c>
      <c r="C55" s="71"/>
      <c r="D55" s="71">
        <f>Resultat!D44</f>
        <v>4288.01</v>
      </c>
      <c r="E55" s="71"/>
      <c r="F55" s="71">
        <f>Resultat!E44</f>
        <v>4356.62</v>
      </c>
    </row>
    <row r="56" spans="1:6" x14ac:dyDescent="0.2">
      <c r="A56" s="67" t="str">
        <f>Resultat!A45</f>
        <v>11. Døgnvagt 87</v>
      </c>
      <c r="B56" s="71">
        <f>Resultat!C45</f>
        <v>4056.7799999999997</v>
      </c>
      <c r="C56" s="71"/>
      <c r="D56" s="71">
        <f>Resultat!D45</f>
        <v>4121.6899999999996</v>
      </c>
      <c r="E56" s="71"/>
      <c r="F56" s="71">
        <f>Resultat!E45</f>
        <v>4187.6399999999994</v>
      </c>
    </row>
    <row r="57" spans="1:6" x14ac:dyDescent="0.2">
      <c r="A57" s="67" t="str">
        <f>Resultat!A46</f>
        <v>12. Døgnvagt 89</v>
      </c>
      <c r="B57" s="71">
        <f>Resultat!C46</f>
        <v>4032.11</v>
      </c>
      <c r="C57" s="71"/>
      <c r="D57" s="71">
        <f>Resultat!D46</f>
        <v>4096.62</v>
      </c>
      <c r="E57" s="71"/>
      <c r="F57" s="71">
        <f>Resultat!E46</f>
        <v>4162.17</v>
      </c>
    </row>
    <row r="58" spans="1:6" x14ac:dyDescent="0.2">
      <c r="A58" s="67" t="str">
        <f>Resultat!A47</f>
        <v>13. Døgnvagt 92</v>
      </c>
      <c r="B58" s="71">
        <f>Resultat!C47</f>
        <v>3991.53</v>
      </c>
      <c r="C58" s="71"/>
      <c r="D58" s="71">
        <f>Resultat!D47</f>
        <v>4055.3900000000003</v>
      </c>
      <c r="E58" s="71"/>
      <c r="F58" s="71">
        <f>Resultat!E47</f>
        <v>4120.2800000000007</v>
      </c>
    </row>
    <row r="59" spans="1:6" x14ac:dyDescent="0.2">
      <c r="A59" s="67"/>
      <c r="B59" s="71"/>
      <c r="C59" s="71"/>
      <c r="D59" s="71"/>
      <c r="E59" s="71"/>
      <c r="F59" s="71"/>
    </row>
    <row r="60" spans="1:6" ht="15.75" x14ac:dyDescent="0.25">
      <c r="A60" s="67"/>
      <c r="B60" s="85" t="str">
        <f>$B$11</f>
        <v>1. marts 2020</v>
      </c>
      <c r="C60" s="85"/>
      <c r="D60" s="85" t="str">
        <f>$D$11</f>
        <v>1. marts 2021</v>
      </c>
      <c r="E60" s="85"/>
      <c r="F60" s="85" t="str">
        <f>$F$11</f>
        <v>1. marts 2022</v>
      </c>
    </row>
    <row r="61" spans="1:6" ht="15.75" x14ac:dyDescent="0.25">
      <c r="A61" s="69" t="str">
        <f>Resultat!A48</f>
        <v>Ferietillæg</v>
      </c>
      <c r="B61" s="63">
        <f>Resultat!C48</f>
        <v>2.5000000000000001E-2</v>
      </c>
      <c r="C61" s="63"/>
      <c r="D61" s="63">
        <f>Resultat!D48</f>
        <v>2.5000000000000001E-2</v>
      </c>
      <c r="E61" s="63"/>
      <c r="F61" s="63">
        <f>Resultat!E48</f>
        <v>2.5000000000000001E-2</v>
      </c>
    </row>
    <row r="62" spans="1:6" ht="15.75" x14ac:dyDescent="0.25">
      <c r="A62" s="69" t="str">
        <f>Resultat!A49</f>
        <v>Særlig opsparing, inkl. feriepenge</v>
      </c>
      <c r="B62" s="63">
        <f>Resultat!C49</f>
        <v>0.05</v>
      </c>
      <c r="C62" s="63"/>
      <c r="D62" s="63">
        <f>Resultat!D49</f>
        <v>6.0000000000000005E-2</v>
      </c>
      <c r="E62" s="63"/>
      <c r="F62" s="63">
        <f>Resultat!E49</f>
        <v>7.0000000000000007E-2</v>
      </c>
    </row>
    <row r="63" spans="1:6" ht="15.75" x14ac:dyDescent="0.25">
      <c r="A63" s="69"/>
      <c r="B63" s="63"/>
      <c r="C63" s="63"/>
      <c r="D63" s="63"/>
      <c r="E63" s="63"/>
      <c r="F63" s="63"/>
    </row>
    <row r="64" spans="1:6" ht="15.75" x14ac:dyDescent="0.25">
      <c r="A64" s="70" t="str">
        <f>Stigninger!A142</f>
        <v>Pension</v>
      </c>
      <c r="B64" s="85" t="str">
        <f>$B$11</f>
        <v>1. marts 2020</v>
      </c>
      <c r="C64" s="85"/>
      <c r="D64" s="85" t="str">
        <f>$D$11</f>
        <v>1. marts 2021</v>
      </c>
      <c r="E64" s="85"/>
      <c r="F64" s="85" t="str">
        <f>$F$11</f>
        <v>1. marts 2022</v>
      </c>
    </row>
    <row r="65" spans="1:6" x14ac:dyDescent="0.2">
      <c r="A65" s="68" t="str">
        <f>Stigninger!A143</f>
        <v>Arbejdsgivers bidrag</v>
      </c>
      <c r="B65" s="63">
        <f>Resultat!C153</f>
        <v>0.08</v>
      </c>
      <c r="C65" s="63"/>
      <c r="D65" s="63">
        <f>Resultat!D153</f>
        <v>0.08</v>
      </c>
      <c r="E65" s="63"/>
      <c r="F65" s="63">
        <f>D65+Stigninger!E143</f>
        <v>0.08</v>
      </c>
    </row>
    <row r="66" spans="1:6" x14ac:dyDescent="0.2">
      <c r="A66" s="68" t="str">
        <f>Stigninger!A144</f>
        <v>Lønmodtagers bidrag</v>
      </c>
      <c r="B66" s="63">
        <f>Resultat!C154</f>
        <v>0.04</v>
      </c>
      <c r="C66" s="63"/>
      <c r="D66" s="63">
        <f>Resultat!D154</f>
        <v>0.04</v>
      </c>
      <c r="E66" s="63"/>
      <c r="F66" s="63">
        <f>D66+Stigninger!E144</f>
        <v>0.04</v>
      </c>
    </row>
    <row r="67" spans="1:6" ht="16.5" thickBot="1" x14ac:dyDescent="0.3">
      <c r="A67" s="64" t="str">
        <f>Stigninger!A145</f>
        <v>Pensionsbidrag i alt</v>
      </c>
      <c r="B67" s="83">
        <f>SUM(B65:B66)</f>
        <v>0.12</v>
      </c>
      <c r="C67" s="84"/>
      <c r="D67" s="83">
        <f>SUM(D65:D66)</f>
        <v>0.12</v>
      </c>
      <c r="E67" s="84"/>
      <c r="F67" s="83">
        <f>SUM(F65:F66)</f>
        <v>0.12</v>
      </c>
    </row>
    <row r="68" spans="1:6" ht="15.75" thickTop="1" x14ac:dyDescent="0.2">
      <c r="A68" s="173"/>
      <c r="B68" s="71"/>
      <c r="C68" s="71"/>
      <c r="D68" s="71"/>
      <c r="E68" s="71"/>
      <c r="F68" s="71"/>
    </row>
    <row r="69" spans="1:6" ht="15.75" x14ac:dyDescent="0.25">
      <c r="A69" s="69" t="str">
        <f>Resultat!A144</f>
        <v>Genetillæg pr. time</v>
      </c>
      <c r="B69" s="85" t="str">
        <f>$B$11</f>
        <v>1. marts 2020</v>
      </c>
      <c r="C69" s="85"/>
      <c r="D69" s="85" t="str">
        <f>$D$11</f>
        <v>1. marts 2021</v>
      </c>
      <c r="E69" s="85"/>
      <c r="F69" s="85" t="str">
        <f>$F$11</f>
        <v>1. marts 2022</v>
      </c>
    </row>
    <row r="70" spans="1:6" ht="15.75" x14ac:dyDescent="0.25">
      <c r="A70" s="69" t="str">
        <f>Resultat!A145</f>
        <v>Hverdage</v>
      </c>
      <c r="B70" s="71"/>
      <c r="C70" s="71"/>
      <c r="D70" s="71"/>
      <c r="E70" s="71"/>
      <c r="F70" s="71"/>
    </row>
    <row r="71" spans="1:6" x14ac:dyDescent="0.2">
      <c r="A71" s="67" t="str">
        <f>Resultat!A146</f>
        <v>Dag – kl. 07.00 til kl. 18.00</v>
      </c>
      <c r="B71" s="71">
        <v>0</v>
      </c>
      <c r="C71" s="71"/>
      <c r="D71" s="71">
        <f>Resultat!D146</f>
        <v>0</v>
      </c>
      <c r="E71" s="71"/>
      <c r="F71" s="71">
        <f>Resultat!E146</f>
        <v>0</v>
      </c>
    </row>
    <row r="72" spans="1:6" x14ac:dyDescent="0.2">
      <c r="A72" s="67" t="str">
        <f>Resultat!A147</f>
        <v>Aften – kl. 18.00 til kl. 24.00</v>
      </c>
      <c r="B72" s="71">
        <f>Resultat!C147</f>
        <v>21.07</v>
      </c>
      <c r="C72" s="71"/>
      <c r="D72" s="71">
        <f>Resultat!D147</f>
        <v>21.41</v>
      </c>
      <c r="E72" s="71"/>
      <c r="F72" s="71">
        <f>Resultat!E147</f>
        <v>21.75</v>
      </c>
    </row>
    <row r="73" spans="1:6" x14ac:dyDescent="0.2">
      <c r="A73" s="67" t="str">
        <f>Resultat!A148</f>
        <v>Nat – kl. 24.00 til kl. 07.00</v>
      </c>
      <c r="B73" s="71">
        <f>Resultat!C148</f>
        <v>38.61</v>
      </c>
      <c r="C73" s="71"/>
      <c r="D73" s="71">
        <f>Resultat!D148</f>
        <v>39.229999999999997</v>
      </c>
      <c r="E73" s="71"/>
      <c r="F73" s="71">
        <f>Resultat!E148</f>
        <v>39.86</v>
      </c>
    </row>
    <row r="74" spans="1:6" ht="15.75" x14ac:dyDescent="0.25">
      <c r="A74" s="69" t="str">
        <f>Resultat!A149</f>
        <v>Weekend</v>
      </c>
      <c r="B74" s="71"/>
      <c r="C74" s="71"/>
      <c r="D74" s="71"/>
      <c r="E74" s="71"/>
      <c r="F74" s="71"/>
    </row>
    <row r="75" spans="1:6" x14ac:dyDescent="0.2">
      <c r="A75" s="67" t="str">
        <f>Resultat!A150</f>
        <v>Lørdag kl. 07.00 til mandag kl. 07.00</v>
      </c>
      <c r="B75" s="71">
        <f>Resultat!C150</f>
        <v>56.14</v>
      </c>
      <c r="C75" s="71"/>
      <c r="D75" s="71">
        <f>Resultat!D150</f>
        <v>57.04</v>
      </c>
      <c r="E75" s="71"/>
      <c r="F75" s="71">
        <f>Resultat!E150</f>
        <v>57.95</v>
      </c>
    </row>
    <row r="76" spans="1:6" x14ac:dyDescent="0.2">
      <c r="A76" s="67" t="str">
        <f>Resultat!A151</f>
        <v>Skæve helligdage og øvrige helligdage</v>
      </c>
      <c r="B76" s="71">
        <f>Resultat!C151</f>
        <v>48.32</v>
      </c>
      <c r="C76" s="71"/>
      <c r="D76" s="71">
        <f>Resultat!D151</f>
        <v>49.09</v>
      </c>
      <c r="E76" s="71"/>
      <c r="F76" s="71">
        <f>Resultat!E151</f>
        <v>49.88</v>
      </c>
    </row>
    <row r="77" spans="1:6" x14ac:dyDescent="0.2">
      <c r="A77" s="67"/>
      <c r="B77" s="71"/>
      <c r="C77" s="71"/>
      <c r="D77" s="71"/>
      <c r="E77" s="71"/>
      <c r="F77" s="71"/>
    </row>
    <row r="78" spans="1:6" ht="15.75" x14ac:dyDescent="0.25">
      <c r="A78" s="69" t="str">
        <f>Resultat!A138</f>
        <v>Øvrige særlige tillæg</v>
      </c>
      <c r="B78" s="85" t="str">
        <f>$B$11</f>
        <v>1. marts 2020</v>
      </c>
      <c r="C78" s="85"/>
      <c r="D78" s="85" t="str">
        <f>$D$11</f>
        <v>1. marts 2021</v>
      </c>
      <c r="E78" s="85"/>
      <c r="F78" s="85" t="str">
        <f>$F$11</f>
        <v>1. marts 2022</v>
      </c>
    </row>
    <row r="79" spans="1:6" ht="30" x14ac:dyDescent="0.2">
      <c r="A79" s="173" t="str">
        <f>Resultat!A139</f>
        <v>Minuttillæg til døgnvagter med minutter og områdereddere på fast døgnvagt</v>
      </c>
      <c r="B79" s="71">
        <f>Resultat!C139</f>
        <v>233.49</v>
      </c>
      <c r="C79" s="71"/>
      <c r="D79" s="71">
        <f>Resultat!D139</f>
        <v>233.49</v>
      </c>
      <c r="E79" s="71"/>
      <c r="F79" s="71">
        <f>Resultat!E139</f>
        <v>233.49</v>
      </c>
    </row>
    <row r="80" spans="1:6" ht="45" x14ac:dyDescent="0.2">
      <c r="A80" s="173" t="str">
        <f>Resultat!A140</f>
        <v>Minuttillæg pr. præsteret døgnvagt til ordinære områdereddere og stationsafløsere på døgnvagt</v>
      </c>
      <c r="B80" s="71">
        <f>Resultat!C140</f>
        <v>27.2</v>
      </c>
      <c r="C80" s="71"/>
      <c r="D80" s="71">
        <f>Resultat!D140</f>
        <v>27.2</v>
      </c>
      <c r="E80" s="71"/>
      <c r="F80" s="71">
        <f>Resultat!E140</f>
        <v>27.2</v>
      </c>
    </row>
    <row r="81" spans="1:6" ht="45" x14ac:dyDescent="0.2">
      <c r="A81" s="173" t="str">
        <f>Resultat!A141</f>
        <v>Døgnvagtstillæg pr. præsteret døgnvagt til ordinære områdereddere og stationsafløsere på døgnvagt</v>
      </c>
      <c r="B81" s="71">
        <f>Resultat!C141</f>
        <v>3.91</v>
      </c>
      <c r="C81" s="71"/>
      <c r="D81" s="71">
        <f>Resultat!D141</f>
        <v>3.91</v>
      </c>
      <c r="E81" s="71"/>
      <c r="F81" s="71">
        <f>Resultat!E141</f>
        <v>3.91</v>
      </c>
    </row>
    <row r="82" spans="1:6" x14ac:dyDescent="0.2">
      <c r="A82" s="67" t="str">
        <f>Resultat!A142</f>
        <v>Forskydningstillæg</v>
      </c>
      <c r="B82" s="71">
        <f>Resultat!C142</f>
        <v>7.72</v>
      </c>
      <c r="C82" s="71"/>
      <c r="D82" s="71">
        <f>Resultat!D142</f>
        <v>7.72</v>
      </c>
      <c r="E82" s="71"/>
      <c r="F82" s="71">
        <f>Resultat!E142</f>
        <v>7.72</v>
      </c>
    </row>
    <row r="83" spans="1:6" ht="30" x14ac:dyDescent="0.2">
      <c r="A83" s="173" t="str">
        <f>Resultat!A143</f>
        <v>Områdereddertillæg til ordinære områdereddere og stationsafløsere</v>
      </c>
      <c r="B83" s="71">
        <f>Resultat!C143</f>
        <v>1100</v>
      </c>
      <c r="C83" s="71"/>
      <c r="D83" s="71">
        <f>Resultat!D143</f>
        <v>1100</v>
      </c>
      <c r="E83" s="71"/>
      <c r="F83" s="71">
        <f>Resultat!E143</f>
        <v>1100</v>
      </c>
    </row>
  </sheetData>
  <sheetProtection algorithmName="SHA-512" hashValue="x3lB8uNgK371oXNf8yf99opP0DATj6APkUudoLwSOgGGNTQzX44nBJdQD7zDaNHEHXzdcpVRKY0Ymkhq2hnftA==" saltValue="IfnQqjdsfLuVfwQPZzhtIQ==" spinCount="100000" sheet="1" objects="1" scenarios="1"/>
  <mergeCells count="5">
    <mergeCell ref="A1:F1"/>
    <mergeCell ref="A2:F2"/>
    <mergeCell ref="A4:F4"/>
    <mergeCell ref="A5:F5"/>
    <mergeCell ref="A3:F3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8FC2-C599-4BE9-9EA7-59550FB5DC2E}">
  <dimension ref="A1:J58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4"/>
      <c r="C1" s="374"/>
      <c r="D1" s="374"/>
      <c r="E1" s="374"/>
      <c r="F1" s="374"/>
    </row>
    <row r="2" spans="1:10" ht="20.25" x14ac:dyDescent="0.3">
      <c r="A2" s="385" t="str">
        <f>'B. Ambulance'!A2</f>
        <v>mellem DEA for Falck/Responce og 3F</v>
      </c>
      <c r="B2" s="374"/>
      <c r="C2" s="374"/>
      <c r="D2" s="374"/>
      <c r="E2" s="374"/>
      <c r="F2" s="374"/>
    </row>
    <row r="3" spans="1:10" ht="20.25" x14ac:dyDescent="0.3">
      <c r="A3" s="385" t="s">
        <v>27</v>
      </c>
      <c r="B3" s="374"/>
      <c r="C3" s="374"/>
      <c r="D3" s="374"/>
      <c r="E3" s="374"/>
      <c r="F3" s="374"/>
    </row>
    <row r="4" spans="1:10" ht="20.25" x14ac:dyDescent="0.3">
      <c r="A4" s="385" t="str">
        <f>'B. Ambulance'!A4</f>
        <v>1. marts 2020 til 28. februar 2023</v>
      </c>
      <c r="B4" s="374"/>
      <c r="C4" s="374"/>
      <c r="D4" s="374"/>
      <c r="E4" s="374"/>
      <c r="F4" s="374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28</v>
      </c>
      <c r="C7" s="135"/>
      <c r="D7" s="135"/>
      <c r="E7" s="136"/>
      <c r="F7" s="136"/>
      <c r="G7" s="135"/>
      <c r="H7" s="135"/>
      <c r="I7" s="135"/>
      <c r="J7" s="135"/>
    </row>
    <row r="9" spans="1:10" ht="15.75" x14ac:dyDescent="0.25">
      <c r="A9" s="64"/>
      <c r="B9" s="65" t="str">
        <f>'B. Ambulance'!B11</f>
        <v>1. marts 2020</v>
      </c>
      <c r="C9" s="65"/>
      <c r="D9" s="65" t="str">
        <f>'B. Ambulance'!D11</f>
        <v>1. marts 2021</v>
      </c>
      <c r="E9" s="65"/>
      <c r="F9" s="65" t="str">
        <f>'B. Ambulance'!F11</f>
        <v>1. marts 2022</v>
      </c>
    </row>
    <row r="10" spans="1:10" ht="15.75" x14ac:dyDescent="0.25">
      <c r="A10" s="64" t="str">
        <f>Resultat!A54</f>
        <v>Grundløn, pr. måned</v>
      </c>
      <c r="B10" s="62">
        <f>Resultat!C54</f>
        <v>25250.13</v>
      </c>
      <c r="C10" s="62"/>
      <c r="D10" s="62">
        <f>Resultat!D54</f>
        <v>25763.19</v>
      </c>
      <c r="E10" s="62"/>
      <c r="F10" s="62">
        <f>Resultat!E54</f>
        <v>26268.23</v>
      </c>
    </row>
    <row r="11" spans="1:10" ht="15.75" x14ac:dyDescent="0.25">
      <c r="A11" s="69" t="str">
        <f>Resultat!A55</f>
        <v>Kvalifikationsløn</v>
      </c>
      <c r="B11" s="62">
        <f>Resultat!C55</f>
        <v>792.74</v>
      </c>
      <c r="C11" s="62"/>
      <c r="D11" s="62">
        <f>Resultat!D55</f>
        <v>792.74</v>
      </c>
      <c r="E11" s="62"/>
      <c r="F11" s="62">
        <f>Resultat!E55</f>
        <v>792.74</v>
      </c>
    </row>
    <row r="12" spans="1:10" ht="15.75" x14ac:dyDescent="0.25">
      <c r="A12" s="69" t="str">
        <f>Resultat!A56</f>
        <v>Reddertillæg</v>
      </c>
      <c r="B12" s="62">
        <f>Resultat!C56</f>
        <v>792</v>
      </c>
      <c r="C12" s="62"/>
      <c r="D12" s="62">
        <f>Resultat!D56</f>
        <v>792</v>
      </c>
      <c r="E12" s="62"/>
      <c r="F12" s="62">
        <f>Resultat!E56</f>
        <v>792</v>
      </c>
    </row>
    <row r="13" spans="1:10" ht="15.75" x14ac:dyDescent="0.25">
      <c r="A13" s="69" t="str">
        <f>Resultat!A57</f>
        <v>Særligt tillæg</v>
      </c>
      <c r="B13" s="62">
        <f>Resultat!C57</f>
        <v>112</v>
      </c>
      <c r="C13" s="62"/>
      <c r="D13" s="62">
        <f>Resultat!D57</f>
        <v>112</v>
      </c>
      <c r="E13" s="62"/>
      <c r="F13" s="62">
        <f>Resultat!E57</f>
        <v>112</v>
      </c>
    </row>
    <row r="14" spans="1:10" ht="15" customHeight="1" x14ac:dyDescent="0.25">
      <c r="A14" s="64"/>
      <c r="B14" s="62"/>
      <c r="C14" s="62"/>
      <c r="D14" s="62"/>
      <c r="E14" s="62"/>
      <c r="F14" s="62"/>
    </row>
    <row r="15" spans="1:10" ht="15.75" x14ac:dyDescent="0.25">
      <c r="A15" s="64" t="str">
        <f>Resultat!A10</f>
        <v>Anciennitetstillæg</v>
      </c>
      <c r="B15" s="85" t="str">
        <f>$B$9</f>
        <v>1. marts 2020</v>
      </c>
      <c r="C15" s="85"/>
      <c r="D15" s="85" t="str">
        <f>$D$9</f>
        <v>1. marts 2021</v>
      </c>
      <c r="E15" s="85"/>
      <c r="F15" s="85" t="str">
        <f>$F$9</f>
        <v>1. marts 2022</v>
      </c>
    </row>
    <row r="16" spans="1:10" x14ac:dyDescent="0.2">
      <c r="A16" s="66" t="str">
        <f>Resultat!A59</f>
        <v>01. Efter 1 år</v>
      </c>
      <c r="B16" s="62">
        <f>Resultat!C59</f>
        <v>753.56</v>
      </c>
      <c r="C16" s="62"/>
      <c r="D16" s="62">
        <f>Resultat!D59</f>
        <v>753.56</v>
      </c>
      <c r="E16" s="62"/>
      <c r="F16" s="62">
        <f>Resultat!E59</f>
        <v>753.56</v>
      </c>
    </row>
    <row r="17" spans="1:6" x14ac:dyDescent="0.2">
      <c r="A17" s="66" t="str">
        <f>Resultat!A60</f>
        <v>02. Efter 3 år</v>
      </c>
      <c r="B17" s="62">
        <f>Resultat!C60</f>
        <v>833.72</v>
      </c>
      <c r="C17" s="62"/>
      <c r="D17" s="62">
        <f>Resultat!D60</f>
        <v>833.72</v>
      </c>
      <c r="E17" s="62"/>
      <c r="F17" s="62">
        <f>Resultat!E60</f>
        <v>833.72</v>
      </c>
    </row>
    <row r="18" spans="1:6" x14ac:dyDescent="0.2">
      <c r="A18" s="66" t="str">
        <f>Resultat!A61</f>
        <v>02. Efter 5 år</v>
      </c>
      <c r="B18" s="62">
        <f>Resultat!C61</f>
        <v>921.91</v>
      </c>
      <c r="C18" s="62"/>
      <c r="D18" s="62">
        <f>Resultat!D61</f>
        <v>921.91</v>
      </c>
      <c r="E18" s="62"/>
      <c r="F18" s="62">
        <f>Resultat!E61</f>
        <v>921.91</v>
      </c>
    </row>
    <row r="19" spans="1:6" x14ac:dyDescent="0.2">
      <c r="A19" s="66"/>
      <c r="B19" s="62"/>
      <c r="C19" s="62"/>
      <c r="D19" s="62"/>
      <c r="E19" s="62"/>
      <c r="F19" s="62"/>
    </row>
    <row r="20" spans="1:6" ht="15.75" x14ac:dyDescent="0.25">
      <c r="A20" s="64" t="str">
        <f>Resultat!A62</f>
        <v>Geneløn ekskl. helligdagstillæg</v>
      </c>
      <c r="B20" s="71"/>
      <c r="C20" s="71"/>
      <c r="D20" s="71"/>
      <c r="E20" s="71"/>
      <c r="F20" s="71"/>
    </row>
    <row r="21" spans="1:6" x14ac:dyDescent="0.2">
      <c r="A21" s="66" t="str">
        <f>Resultat!A63</f>
        <v>Gældende for hovedvagter</v>
      </c>
      <c r="B21" s="71"/>
      <c r="C21" s="71"/>
      <c r="D21" s="71"/>
      <c r="E21" s="71"/>
      <c r="F21" s="71"/>
    </row>
    <row r="22" spans="1:6" ht="15.75" x14ac:dyDescent="0.25">
      <c r="A22" s="64" t="str">
        <f>Resultat!A64</f>
        <v>Regulering af genetillæg</v>
      </c>
      <c r="B22" s="85" t="str">
        <f>$B$9</f>
        <v>1. marts 2020</v>
      </c>
      <c r="C22" s="85"/>
      <c r="D22" s="85" t="str">
        <f>$D$9</f>
        <v>1. marts 2021</v>
      </c>
      <c r="E22" s="85"/>
      <c r="F22" s="85" t="str">
        <f>$F$9</f>
        <v>1. marts 2022</v>
      </c>
    </row>
    <row r="23" spans="1:6" x14ac:dyDescent="0.2">
      <c r="A23" s="67" t="str">
        <f>Resultat!A65</f>
        <v>01. Dagvagt</v>
      </c>
      <c r="B23" s="71">
        <f>Resultat!C65</f>
        <v>0</v>
      </c>
      <c r="C23" s="71"/>
      <c r="D23" s="71">
        <f>Resultat!D65</f>
        <v>0</v>
      </c>
      <c r="E23" s="71"/>
      <c r="F23" s="71">
        <f>Resultat!E65</f>
        <v>0</v>
      </c>
    </row>
    <row r="24" spans="1:6" x14ac:dyDescent="0.2">
      <c r="A24" s="67" t="str">
        <f>Resultat!A66</f>
        <v>02. 2-skiftet vagt</v>
      </c>
      <c r="B24" s="71">
        <f>Resultat!C66</f>
        <v>1095.3399999999999</v>
      </c>
      <c r="C24" s="71"/>
      <c r="D24" s="71">
        <f>Resultat!D66</f>
        <v>1112.8699999999999</v>
      </c>
      <c r="E24" s="71"/>
      <c r="F24" s="71">
        <f>Resultat!E66</f>
        <v>1130.6799999999998</v>
      </c>
    </row>
    <row r="25" spans="1:6" x14ac:dyDescent="0.2">
      <c r="A25" s="67" t="str">
        <f>Resultat!A67</f>
        <v>03. 3+2+2-vagt</v>
      </c>
      <c r="B25" s="71">
        <f>Resultat!C67</f>
        <v>2653.87</v>
      </c>
      <c r="C25" s="71"/>
      <c r="D25" s="71">
        <f>Resultat!D67</f>
        <v>2696.33</v>
      </c>
      <c r="E25" s="71"/>
      <c r="F25" s="71">
        <f>Resultat!E67</f>
        <v>2739.47</v>
      </c>
    </row>
    <row r="26" spans="1:6" x14ac:dyDescent="0.2">
      <c r="A26" s="67" t="str">
        <f>Resultat!A68</f>
        <v>04. Dag/aftenvagt</v>
      </c>
      <c r="B26" s="71">
        <f>Resultat!C68</f>
        <v>2540.25</v>
      </c>
      <c r="C26" s="71"/>
      <c r="D26" s="71">
        <f>Resultat!D68</f>
        <v>2580.89</v>
      </c>
      <c r="E26" s="71"/>
      <c r="F26" s="71">
        <f>Resultat!E68</f>
        <v>2622.18</v>
      </c>
    </row>
    <row r="27" spans="1:6" x14ac:dyDescent="0.2">
      <c r="A27" s="67" t="str">
        <f>Resultat!A69</f>
        <v>05. DDAA-vagt</v>
      </c>
      <c r="B27" s="71">
        <f>Resultat!C69</f>
        <v>3034.23</v>
      </c>
      <c r="C27" s="71"/>
      <c r="D27" s="71">
        <f>Resultat!D69</f>
        <v>3082.78</v>
      </c>
      <c r="E27" s="71"/>
      <c r="F27" s="71">
        <f>Resultat!E69</f>
        <v>3132.1000000000004</v>
      </c>
    </row>
    <row r="28" spans="1:6" x14ac:dyDescent="0.2">
      <c r="A28" s="67" t="str">
        <f>Resultat!A70</f>
        <v>06. DDN-vagt</v>
      </c>
      <c r="B28" s="71">
        <f>Resultat!C70</f>
        <v>3670.1200000000003</v>
      </c>
      <c r="C28" s="71"/>
      <c r="D28" s="71">
        <f>Resultat!D70</f>
        <v>3728.84</v>
      </c>
      <c r="E28" s="71"/>
      <c r="F28" s="71">
        <f>Resultat!E70</f>
        <v>3788.5</v>
      </c>
    </row>
    <row r="29" spans="1:6" x14ac:dyDescent="0.2">
      <c r="A29" s="67" t="str">
        <f>Resultat!A71</f>
        <v>07. Døgnvagt</v>
      </c>
      <c r="B29" s="71">
        <f>Resultat!C71</f>
        <v>3851.38</v>
      </c>
      <c r="C29" s="71"/>
      <c r="D29" s="71">
        <f>Resultat!D71</f>
        <v>3913</v>
      </c>
      <c r="E29" s="71"/>
      <c r="F29" s="71">
        <f>Resultat!E71</f>
        <v>3975.61</v>
      </c>
    </row>
    <row r="30" spans="1:6" x14ac:dyDescent="0.2">
      <c r="A30" s="67" t="str">
        <f>Resultat!A72</f>
        <v>08. 3-skiftet vagt</v>
      </c>
      <c r="B30" s="71">
        <f>Resultat!C72</f>
        <v>3306.2200000000003</v>
      </c>
      <c r="C30" s="71"/>
      <c r="D30" s="71">
        <f>Resultat!D72</f>
        <v>3359.1200000000003</v>
      </c>
      <c r="E30" s="71"/>
      <c r="F30" s="71">
        <f>Resultat!E72</f>
        <v>3412.8700000000003</v>
      </c>
    </row>
    <row r="31" spans="1:6" x14ac:dyDescent="0.2">
      <c r="A31" s="67" t="str">
        <f>Resultat!A73</f>
        <v>09A. 3+2+2 med 3 A-vagter</v>
      </c>
      <c r="B31" s="71">
        <f>Resultat!C73</f>
        <v>2382.9500000000003</v>
      </c>
      <c r="C31" s="71"/>
      <c r="D31" s="71">
        <f>Resultat!D73</f>
        <v>2421.0800000000004</v>
      </c>
      <c r="E31" s="71"/>
      <c r="F31" s="71">
        <f>Resultat!E73</f>
        <v>2459.8200000000002</v>
      </c>
    </row>
    <row r="32" spans="1:6" x14ac:dyDescent="0.2">
      <c r="A32" s="67" t="str">
        <f>Resultat!A74</f>
        <v>09B. 3+2+2 med 4 A-vagter</v>
      </c>
      <c r="B32" s="71">
        <f>Resultat!C74</f>
        <v>2316.66</v>
      </c>
      <c r="C32" s="71"/>
      <c r="D32" s="71">
        <f>Resultat!D74</f>
        <v>2353.73</v>
      </c>
      <c r="E32" s="71"/>
      <c r="F32" s="71">
        <f>Resultat!E74</f>
        <v>2391.39</v>
      </c>
    </row>
    <row r="33" spans="1:6" x14ac:dyDescent="0.2">
      <c r="A33" s="67" t="str">
        <f>Resultat!A75</f>
        <v>13. Døgnvagt 92</v>
      </c>
      <c r="B33" s="71">
        <f>Resultat!C75</f>
        <v>3991.53</v>
      </c>
      <c r="C33" s="71"/>
      <c r="D33" s="71">
        <f>Resultat!D75</f>
        <v>4055.3900000000003</v>
      </c>
      <c r="E33" s="71"/>
      <c r="F33" s="71">
        <f>Resultat!E75</f>
        <v>4120.2800000000007</v>
      </c>
    </row>
    <row r="34" spans="1:6" x14ac:dyDescent="0.2">
      <c r="A34" s="173"/>
      <c r="B34" s="71"/>
      <c r="C34" s="71"/>
      <c r="D34" s="71"/>
      <c r="E34" s="71"/>
      <c r="F34" s="71"/>
    </row>
    <row r="35" spans="1:6" ht="15.75" x14ac:dyDescent="0.25">
      <c r="A35" s="67"/>
      <c r="B35" s="85" t="str">
        <f>$B$9</f>
        <v>1. marts 2020</v>
      </c>
      <c r="C35" s="85"/>
      <c r="D35" s="85" t="str">
        <f>$D$9</f>
        <v>1. marts 2021</v>
      </c>
      <c r="E35" s="85"/>
      <c r="F35" s="85" t="str">
        <f>$F$9</f>
        <v>1. marts 2022</v>
      </c>
    </row>
    <row r="36" spans="1:6" ht="15.75" x14ac:dyDescent="0.25">
      <c r="A36" s="69" t="str">
        <f>Resultat!A76</f>
        <v>Ferietillæg</v>
      </c>
      <c r="B36" s="63">
        <f>Resultat!C76</f>
        <v>2.5000000000000001E-2</v>
      </c>
      <c r="C36" s="63"/>
      <c r="D36" s="63">
        <f>Resultat!D76</f>
        <v>2.5000000000000001E-2</v>
      </c>
      <c r="E36" s="63"/>
      <c r="F36" s="63">
        <f>Resultat!E76</f>
        <v>2.5000000000000001E-2</v>
      </c>
    </row>
    <row r="37" spans="1:6" ht="15.75" x14ac:dyDescent="0.25">
      <c r="A37" s="69" t="str">
        <f>Resultat!A77</f>
        <v>Særlig opsparing, inkl. feriepenge</v>
      </c>
      <c r="B37" s="63">
        <f>Resultat!C77</f>
        <v>0.05</v>
      </c>
      <c r="C37" s="63"/>
      <c r="D37" s="63">
        <f>Resultat!D77</f>
        <v>6.0000000000000005E-2</v>
      </c>
      <c r="E37" s="63"/>
      <c r="F37" s="63">
        <f>Resultat!E77</f>
        <v>7.0000000000000007E-2</v>
      </c>
    </row>
    <row r="38" spans="1:6" ht="15" customHeight="1" x14ac:dyDescent="0.25">
      <c r="A38" s="69"/>
      <c r="B38" s="63"/>
      <c r="C38" s="63"/>
      <c r="D38" s="63"/>
      <c r="E38" s="63"/>
      <c r="F38" s="63"/>
    </row>
    <row r="39" spans="1:6" ht="15" customHeight="1" x14ac:dyDescent="0.25">
      <c r="A39" s="70" t="str">
        <f>Stigninger!A142</f>
        <v>Pension</v>
      </c>
      <c r="B39" s="85" t="str">
        <f>$B$9</f>
        <v>1. marts 2020</v>
      </c>
      <c r="C39" s="85"/>
      <c r="D39" s="85" t="str">
        <f>$D$9</f>
        <v>1. marts 2021</v>
      </c>
      <c r="E39" s="85"/>
      <c r="F39" s="85" t="str">
        <f>$F$9</f>
        <v>1. marts 2022</v>
      </c>
    </row>
    <row r="40" spans="1:6" x14ac:dyDescent="0.2">
      <c r="A40" s="68" t="str">
        <f>Stigninger!A143</f>
        <v>Arbejdsgivers bidrag</v>
      </c>
      <c r="B40" s="63">
        <f>Resultat!C153</f>
        <v>0.08</v>
      </c>
      <c r="C40" s="63"/>
      <c r="D40" s="63">
        <f>Resultat!D153</f>
        <v>0.08</v>
      </c>
      <c r="E40" s="63"/>
      <c r="F40" s="63">
        <f>D40+Stigninger!E143</f>
        <v>0.08</v>
      </c>
    </row>
    <row r="41" spans="1:6" x14ac:dyDescent="0.2">
      <c r="A41" s="68" t="str">
        <f>Stigninger!A144</f>
        <v>Lønmodtagers bidrag</v>
      </c>
      <c r="B41" s="63">
        <f>Resultat!C154</f>
        <v>0.04</v>
      </c>
      <c r="C41" s="63"/>
      <c r="D41" s="63">
        <f>Resultat!D154</f>
        <v>0.04</v>
      </c>
      <c r="E41" s="63"/>
      <c r="F41" s="63">
        <f>D41+Stigninger!E144</f>
        <v>0.04</v>
      </c>
    </row>
    <row r="42" spans="1:6" ht="16.5" customHeight="1" thickBot="1" x14ac:dyDescent="0.3">
      <c r="A42" s="64" t="str">
        <f>Stigninger!A145</f>
        <v>Pensionsbidrag i alt</v>
      </c>
      <c r="B42" s="83">
        <f>SUM(B40:B41)</f>
        <v>0.12</v>
      </c>
      <c r="C42" s="84"/>
      <c r="D42" s="83">
        <f>SUM(D40:D41)</f>
        <v>0.12</v>
      </c>
      <c r="E42" s="84"/>
      <c r="F42" s="83">
        <f>SUM(F40:F41)</f>
        <v>0.12</v>
      </c>
    </row>
    <row r="43" spans="1:6" ht="15" customHeight="1" thickTop="1" x14ac:dyDescent="0.2">
      <c r="A43" s="173"/>
      <c r="B43" s="71"/>
      <c r="C43" s="71"/>
      <c r="D43" s="71"/>
      <c r="E43" s="71"/>
      <c r="F43" s="71"/>
    </row>
    <row r="44" spans="1:6" ht="15" customHeight="1" x14ac:dyDescent="0.25">
      <c r="A44" s="174" t="str">
        <f>Resultat!A144</f>
        <v>Genetillæg pr. time</v>
      </c>
      <c r="B44" s="85" t="str">
        <f>$B$9</f>
        <v>1. marts 2020</v>
      </c>
      <c r="C44" s="85"/>
      <c r="D44" s="85" t="str">
        <f>$D$9</f>
        <v>1. marts 2021</v>
      </c>
      <c r="E44" s="85"/>
      <c r="F44" s="85" t="str">
        <f>$F$9</f>
        <v>1. marts 2022</v>
      </c>
    </row>
    <row r="45" spans="1:6" ht="15" customHeight="1" x14ac:dyDescent="0.25">
      <c r="A45" s="174" t="str">
        <f>Resultat!A145</f>
        <v>Hverdage</v>
      </c>
      <c r="B45" s="71"/>
      <c r="C45" s="71"/>
      <c r="D45" s="71"/>
      <c r="E45" s="71"/>
      <c r="F45" s="71"/>
    </row>
    <row r="46" spans="1:6" ht="15" customHeight="1" x14ac:dyDescent="0.2">
      <c r="A46" s="173" t="str">
        <f>Resultat!A146</f>
        <v>Dag – kl. 07.00 til kl. 18.00</v>
      </c>
      <c r="B46" s="71">
        <f>Resultat!C146</f>
        <v>0</v>
      </c>
      <c r="C46" s="71"/>
      <c r="D46" s="71">
        <f>Resultat!D146</f>
        <v>0</v>
      </c>
      <c r="E46" s="71"/>
      <c r="F46" s="71">
        <f>Resultat!E146</f>
        <v>0</v>
      </c>
    </row>
    <row r="47" spans="1:6" ht="15" customHeight="1" x14ac:dyDescent="0.2">
      <c r="A47" s="173" t="str">
        <f>Resultat!A147</f>
        <v>Aften – kl. 18.00 til kl. 24.00</v>
      </c>
      <c r="B47" s="71">
        <f>Resultat!C147</f>
        <v>21.07</v>
      </c>
      <c r="C47" s="71"/>
      <c r="D47" s="71">
        <f>Resultat!D147</f>
        <v>21.41</v>
      </c>
      <c r="E47" s="71"/>
      <c r="F47" s="71">
        <f>Resultat!E147</f>
        <v>21.75</v>
      </c>
    </row>
    <row r="48" spans="1:6" ht="15" customHeight="1" x14ac:dyDescent="0.2">
      <c r="A48" s="173" t="str">
        <f>Resultat!A148</f>
        <v>Nat – kl. 24.00 til kl. 07.00</v>
      </c>
      <c r="B48" s="71">
        <f>Resultat!C148</f>
        <v>38.61</v>
      </c>
      <c r="C48" s="71"/>
      <c r="D48" s="71">
        <f>Resultat!D148</f>
        <v>39.229999999999997</v>
      </c>
      <c r="E48" s="71"/>
      <c r="F48" s="71">
        <f>Resultat!E148</f>
        <v>39.86</v>
      </c>
    </row>
    <row r="49" spans="1:6" ht="15" customHeight="1" x14ac:dyDescent="0.25">
      <c r="A49" s="174" t="str">
        <f>Resultat!A149</f>
        <v>Weekend</v>
      </c>
      <c r="B49" s="71"/>
      <c r="C49" s="71"/>
      <c r="D49" s="71"/>
      <c r="E49" s="71"/>
      <c r="F49" s="71"/>
    </row>
    <row r="50" spans="1:6" ht="15" customHeight="1" x14ac:dyDescent="0.2">
      <c r="A50" s="173" t="str">
        <f>Resultat!A150</f>
        <v>Lørdag kl. 07.00 til mandag kl. 07.00</v>
      </c>
      <c r="B50" s="71">
        <f>Resultat!C150</f>
        <v>56.14</v>
      </c>
      <c r="C50" s="71"/>
      <c r="D50" s="71">
        <f>Resultat!D150</f>
        <v>57.04</v>
      </c>
      <c r="E50" s="71"/>
      <c r="F50" s="71">
        <f>Resultat!E150</f>
        <v>57.95</v>
      </c>
    </row>
    <row r="51" spans="1:6" ht="15" customHeight="1" x14ac:dyDescent="0.2">
      <c r="A51" s="173" t="str">
        <f>Resultat!A151</f>
        <v>Skæve helligdage og øvrige helligdage</v>
      </c>
      <c r="B51" s="71">
        <f>Resultat!C151</f>
        <v>48.32</v>
      </c>
      <c r="C51" s="71"/>
      <c r="D51" s="71">
        <f>Resultat!D151</f>
        <v>49.09</v>
      </c>
      <c r="E51" s="71"/>
      <c r="F51" s="71">
        <f>Resultat!E151</f>
        <v>49.88</v>
      </c>
    </row>
    <row r="52" spans="1:6" ht="15" customHeight="1" x14ac:dyDescent="0.2">
      <c r="A52" s="67"/>
      <c r="B52" s="71"/>
      <c r="C52" s="71"/>
      <c r="D52" s="71"/>
      <c r="E52" s="71"/>
      <c r="F52" s="71"/>
    </row>
    <row r="53" spans="1:6" ht="15.75" x14ac:dyDescent="0.25">
      <c r="A53" s="69" t="str">
        <f>Resultat!A138</f>
        <v>Øvrige særlige tillæg</v>
      </c>
      <c r="B53" s="85" t="str">
        <f>$B$9</f>
        <v>1. marts 2020</v>
      </c>
      <c r="C53" s="85"/>
      <c r="D53" s="85" t="str">
        <f>$D$9</f>
        <v>1. marts 2021</v>
      </c>
      <c r="E53" s="85"/>
      <c r="F53" s="85" t="str">
        <f>$F$9</f>
        <v>1. marts 2022</v>
      </c>
    </row>
    <row r="54" spans="1:6" ht="30" x14ac:dyDescent="0.2">
      <c r="A54" s="173" t="str">
        <f>Resultat!A139</f>
        <v>Minuttillæg til døgnvagter med minutter og områdereddere på fast døgnvagt</v>
      </c>
      <c r="B54" s="71">
        <f>Resultat!C139</f>
        <v>233.49</v>
      </c>
      <c r="C54" s="71"/>
      <c r="D54" s="71">
        <f>Resultat!D139</f>
        <v>233.49</v>
      </c>
      <c r="E54" s="71"/>
      <c r="F54" s="71">
        <f>Resultat!E139</f>
        <v>233.49</v>
      </c>
    </row>
    <row r="55" spans="1:6" ht="45" x14ac:dyDescent="0.2">
      <c r="A55" s="173" t="str">
        <f>Resultat!A140</f>
        <v>Minuttillæg pr. præsteret døgnvagt til ordinære områdereddere og stationsafløsere på døgnvagt</v>
      </c>
      <c r="B55" s="71">
        <f>Resultat!C140</f>
        <v>27.2</v>
      </c>
      <c r="C55" s="71"/>
      <c r="D55" s="71">
        <f>Resultat!D140</f>
        <v>27.2</v>
      </c>
      <c r="E55" s="71"/>
      <c r="F55" s="71">
        <f>Resultat!E140</f>
        <v>27.2</v>
      </c>
    </row>
    <row r="56" spans="1:6" ht="45" x14ac:dyDescent="0.2">
      <c r="A56" s="173" t="str">
        <f>Resultat!A141</f>
        <v>Døgnvagtstillæg pr. præsteret døgnvagt til ordinære områdereddere og stationsafløsere på døgnvagt</v>
      </c>
      <c r="B56" s="71">
        <f>Resultat!C141</f>
        <v>3.91</v>
      </c>
      <c r="C56" s="71"/>
      <c r="D56" s="71">
        <f>Resultat!D141</f>
        <v>3.91</v>
      </c>
      <c r="E56" s="71"/>
      <c r="F56" s="71">
        <f>Resultat!E141</f>
        <v>3.91</v>
      </c>
    </row>
    <row r="57" spans="1:6" x14ac:dyDescent="0.2">
      <c r="A57" s="173" t="str">
        <f>Resultat!A142</f>
        <v>Forskydningstillæg</v>
      </c>
      <c r="B57" s="71">
        <f>Resultat!C142</f>
        <v>7.72</v>
      </c>
      <c r="C57" s="71"/>
      <c r="D57" s="71">
        <f>Resultat!D142</f>
        <v>7.72</v>
      </c>
      <c r="E57" s="71"/>
      <c r="F57" s="71">
        <f>Resultat!E142</f>
        <v>7.72</v>
      </c>
    </row>
    <row r="58" spans="1:6" ht="30" x14ac:dyDescent="0.2">
      <c r="A58" s="173" t="str">
        <f>Resultat!A143</f>
        <v>Områdereddertillæg til ordinære områdereddere og stationsafløsere</v>
      </c>
      <c r="B58" s="71">
        <f>Resultat!C143</f>
        <v>1100</v>
      </c>
      <c r="C58" s="71"/>
      <c r="D58" s="71">
        <f>Resultat!D143</f>
        <v>1100</v>
      </c>
      <c r="E58" s="71"/>
      <c r="F58" s="71">
        <f>Resultat!E143</f>
        <v>1100</v>
      </c>
    </row>
  </sheetData>
  <sheetProtection algorithmName="SHA-512" hashValue="Vmu70OEECQ6OH+Pf03LLqIfMwLObG+1U5jsAdlR3kwKJE3uYd6D40DL1J2Fgu9kA1tmpw8jQljFBDv/tejuXwg==" saltValue="la2hw6yBCSivy7udL/ULYA==" spinCount="100000" sheet="1" objects="1" scenarios="1"/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D25D-94B2-46F2-BE6C-EBEB628B2843}">
  <dimension ref="A1:J36"/>
  <sheetViews>
    <sheetView showGridLines="0" showRowColHeaders="0" zoomScale="150" zoomScaleNormal="150" workbookViewId="0">
      <selection sqref="A1:F1"/>
    </sheetView>
  </sheetViews>
  <sheetFormatPr defaultRowHeight="15" x14ac:dyDescent="0.2"/>
  <cols>
    <col min="1" max="1" width="45.85546875" style="1" customWidth="1"/>
    <col min="2" max="2" width="15.7109375" style="1" customWidth="1"/>
    <col min="3" max="3" width="0.85546875" style="1" customWidth="1"/>
    <col min="4" max="4" width="15.7109375" style="1" customWidth="1"/>
    <col min="5" max="5" width="0.85546875" style="1" customWidth="1"/>
    <col min="6" max="6" width="15.7109375" style="1" customWidth="1"/>
    <col min="7" max="16384" width="9.140625" style="1"/>
  </cols>
  <sheetData>
    <row r="1" spans="1:10" ht="20.25" x14ac:dyDescent="0.3">
      <c r="A1" s="385" t="str">
        <f>'B. Ambulance'!A1</f>
        <v>Lønoversigt for Redderoverenskomster</v>
      </c>
      <c r="B1" s="374"/>
      <c r="C1" s="374"/>
      <c r="D1" s="374"/>
      <c r="E1" s="374"/>
      <c r="F1" s="374"/>
    </row>
    <row r="2" spans="1:10" ht="20.25" x14ac:dyDescent="0.3">
      <c r="A2" s="385" t="str">
        <f>'B. Ambulance'!A2</f>
        <v>mellem DEA for Falck/Responce og 3F</v>
      </c>
      <c r="B2" s="374"/>
      <c r="C2" s="374"/>
      <c r="D2" s="374"/>
      <c r="E2" s="374"/>
      <c r="F2" s="374"/>
    </row>
    <row r="3" spans="1:10" ht="20.25" x14ac:dyDescent="0.3">
      <c r="A3" s="385" t="s">
        <v>29</v>
      </c>
      <c r="B3" s="374"/>
      <c r="C3" s="374"/>
      <c r="D3" s="374"/>
      <c r="E3" s="374"/>
      <c r="F3" s="374"/>
    </row>
    <row r="4" spans="1:10" ht="20.25" x14ac:dyDescent="0.3">
      <c r="A4" s="385" t="str">
        <f>'B. Ambulance'!A4</f>
        <v>1. marts 2020 til 28. februar 2023</v>
      </c>
      <c r="B4" s="374"/>
      <c r="C4" s="374"/>
      <c r="D4" s="374"/>
      <c r="E4" s="374"/>
      <c r="F4" s="374"/>
    </row>
    <row r="5" spans="1:10" x14ac:dyDescent="0.2">
      <c r="A5" s="387" t="str">
        <f>'B. Ambulance'!A5</f>
        <v>Gældende fra begyndelsen af den lønningsuge hvori 1. marts indgår.</v>
      </c>
      <c r="B5" s="388"/>
      <c r="C5" s="388"/>
      <c r="D5" s="388"/>
      <c r="E5" s="388"/>
      <c r="F5" s="388"/>
      <c r="G5" s="135"/>
      <c r="H5" s="135"/>
      <c r="I5" s="135"/>
      <c r="J5" s="135"/>
    </row>
    <row r="6" spans="1:10" x14ac:dyDescent="0.2">
      <c r="A6" s="135"/>
      <c r="B6" s="135"/>
      <c r="C6" s="135"/>
      <c r="D6" s="135"/>
      <c r="E6" s="136"/>
      <c r="F6" s="136"/>
      <c r="G6" s="135"/>
      <c r="H6" s="135"/>
      <c r="I6" s="135"/>
      <c r="J6" s="135"/>
    </row>
    <row r="7" spans="1:10" ht="15.75" x14ac:dyDescent="0.25">
      <c r="A7" s="171" t="s">
        <v>25</v>
      </c>
      <c r="B7" s="171" t="s">
        <v>30</v>
      </c>
      <c r="C7" s="135"/>
      <c r="D7" s="135"/>
      <c r="E7" s="136"/>
      <c r="F7" s="136"/>
      <c r="G7" s="135"/>
      <c r="H7" s="135"/>
      <c r="I7" s="135"/>
      <c r="J7" s="135"/>
    </row>
    <row r="9" spans="1:10" ht="15.75" x14ac:dyDescent="0.25">
      <c r="A9" s="64"/>
      <c r="B9" s="65" t="str">
        <f>'B. Ambulance'!B11</f>
        <v>1. marts 2020</v>
      </c>
      <c r="C9" s="65"/>
      <c r="D9" s="65" t="str">
        <f>'B. Ambulance'!D11</f>
        <v>1. marts 2021</v>
      </c>
      <c r="E9" s="65"/>
      <c r="F9" s="65" t="str">
        <f>'B. Ambulance'!F11</f>
        <v>1. marts 2022</v>
      </c>
    </row>
    <row r="10" spans="1:10" ht="15.75" x14ac:dyDescent="0.25">
      <c r="A10" s="64" t="str">
        <f>Resultat!A82</f>
        <v>Grundløn, pr. måned</v>
      </c>
      <c r="B10" s="62">
        <f>Resultat!C82</f>
        <v>25250.13</v>
      </c>
      <c r="C10" s="62"/>
      <c r="D10" s="62">
        <f>Resultat!D82</f>
        <v>25763.19</v>
      </c>
      <c r="E10" s="62"/>
      <c r="F10" s="62">
        <f>Resultat!E82</f>
        <v>26268.23</v>
      </c>
    </row>
    <row r="11" spans="1:10" ht="15.75" x14ac:dyDescent="0.25">
      <c r="A11" s="64" t="str">
        <f>Resultat!A83</f>
        <v>Kvalifikationsløn</v>
      </c>
      <c r="B11" s="62">
        <f>Resultat!C83</f>
        <v>680</v>
      </c>
      <c r="C11" s="62"/>
      <c r="D11" s="62">
        <f>Resultat!D83</f>
        <v>680</v>
      </c>
      <c r="E11" s="62"/>
      <c r="F11" s="62">
        <f>Resultat!E83</f>
        <v>680</v>
      </c>
    </row>
    <row r="12" spans="1:10" ht="15.75" x14ac:dyDescent="0.25">
      <c r="A12" s="64" t="str">
        <f>Resultat!A84</f>
        <v>Reddertillæg</v>
      </c>
      <c r="B12" s="62">
        <f>Resultat!C84</f>
        <v>792</v>
      </c>
      <c r="C12" s="62"/>
      <c r="D12" s="62">
        <f>Resultat!D84</f>
        <v>792</v>
      </c>
      <c r="E12" s="62"/>
      <c r="F12" s="62">
        <f>Resultat!E84</f>
        <v>792</v>
      </c>
    </row>
    <row r="13" spans="1:10" ht="15.75" x14ac:dyDescent="0.25">
      <c r="A13" s="64" t="str">
        <f>Resultat!A85</f>
        <v>Særligt tillæg</v>
      </c>
      <c r="B13" s="62">
        <f>Resultat!C85</f>
        <v>112</v>
      </c>
      <c r="C13" s="62"/>
      <c r="D13" s="62">
        <f>Resultat!D85</f>
        <v>112</v>
      </c>
      <c r="E13" s="62"/>
      <c r="F13" s="62">
        <f>Resultat!E85</f>
        <v>112</v>
      </c>
    </row>
    <row r="14" spans="1:10" ht="15" customHeight="1" x14ac:dyDescent="0.25">
      <c r="A14" s="64"/>
      <c r="B14" s="62"/>
      <c r="C14" s="62"/>
      <c r="D14" s="62"/>
      <c r="E14" s="62"/>
      <c r="F14" s="62"/>
    </row>
    <row r="15" spans="1:10" ht="15.75" x14ac:dyDescent="0.25">
      <c r="A15" s="64" t="str">
        <f>Resultat!A10</f>
        <v>Anciennitetstillæg</v>
      </c>
      <c r="B15" s="85" t="str">
        <f>$B$9</f>
        <v>1. marts 2020</v>
      </c>
      <c r="C15" s="85"/>
      <c r="D15" s="85" t="str">
        <f>$D$9</f>
        <v>1. marts 2021</v>
      </c>
      <c r="E15" s="85"/>
      <c r="F15" s="85" t="str">
        <f>$F$9</f>
        <v>1. marts 2022</v>
      </c>
    </row>
    <row r="16" spans="1:10" x14ac:dyDescent="0.2">
      <c r="A16" s="66" t="str">
        <f>Resultat!A87</f>
        <v>01. Efter 1 år</v>
      </c>
      <c r="B16" s="62">
        <f>Resultat!C87</f>
        <v>753.56</v>
      </c>
      <c r="C16" s="62"/>
      <c r="D16" s="62">
        <f>Resultat!D87</f>
        <v>753.56</v>
      </c>
      <c r="E16" s="62"/>
      <c r="F16" s="62">
        <f>Resultat!E87</f>
        <v>753.56</v>
      </c>
    </row>
    <row r="17" spans="1:6" x14ac:dyDescent="0.2">
      <c r="A17" s="66" t="str">
        <f>Resultat!A88</f>
        <v>02. Efter 3 år</v>
      </c>
      <c r="B17" s="62">
        <f>Resultat!C88</f>
        <v>833.72</v>
      </c>
      <c r="C17" s="62"/>
      <c r="D17" s="62">
        <f>Resultat!D88</f>
        <v>833.72</v>
      </c>
      <c r="E17" s="62"/>
      <c r="F17" s="62">
        <f>Resultat!E88</f>
        <v>833.72</v>
      </c>
    </row>
    <row r="18" spans="1:6" x14ac:dyDescent="0.2">
      <c r="A18" s="66" t="str">
        <f>Resultat!A89</f>
        <v>02. Efter 5 år</v>
      </c>
      <c r="B18" s="62">
        <f>Resultat!C89</f>
        <v>921.91</v>
      </c>
      <c r="C18" s="62"/>
      <c r="D18" s="62">
        <f>Resultat!D89</f>
        <v>921.91</v>
      </c>
      <c r="E18" s="62"/>
      <c r="F18" s="62">
        <f>Resultat!E89</f>
        <v>921.91</v>
      </c>
    </row>
    <row r="19" spans="1:6" x14ac:dyDescent="0.2">
      <c r="A19" s="67"/>
      <c r="B19" s="71"/>
      <c r="C19" s="71"/>
      <c r="D19" s="71"/>
      <c r="E19" s="71"/>
      <c r="F19" s="71"/>
    </row>
    <row r="20" spans="1:6" ht="15" customHeight="1" x14ac:dyDescent="0.25">
      <c r="A20" s="67"/>
      <c r="B20" s="85" t="str">
        <f>$B$9</f>
        <v>1. marts 2020</v>
      </c>
      <c r="C20" s="85"/>
      <c r="D20" s="85" t="str">
        <f>$D$9</f>
        <v>1. marts 2021</v>
      </c>
      <c r="E20" s="85"/>
      <c r="F20" s="85" t="str">
        <f>$F$9</f>
        <v>1. marts 2022</v>
      </c>
    </row>
    <row r="21" spans="1:6" ht="15" customHeight="1" x14ac:dyDescent="0.25">
      <c r="A21" s="69" t="str">
        <f>Resultat!A90</f>
        <v>Ferietillæg</v>
      </c>
      <c r="B21" s="63">
        <f>Resultat!C90</f>
        <v>0.01</v>
      </c>
      <c r="C21" s="63"/>
      <c r="D21" s="63">
        <f>Resultat!D90</f>
        <v>0.01</v>
      </c>
      <c r="E21" s="63"/>
      <c r="F21" s="63">
        <f>Resultat!E90</f>
        <v>0.01</v>
      </c>
    </row>
    <row r="22" spans="1:6" ht="15" customHeight="1" x14ac:dyDescent="0.25">
      <c r="A22" s="69" t="str">
        <f>Resultat!A91</f>
        <v>Særlig opsparing, inkl. feriepenge</v>
      </c>
      <c r="B22" s="63">
        <f>Resultat!C91</f>
        <v>0.04</v>
      </c>
      <c r="C22" s="63"/>
      <c r="D22" s="63">
        <f>Resultat!D91</f>
        <v>0.05</v>
      </c>
      <c r="E22" s="63"/>
      <c r="F22" s="63">
        <f>Resultat!E91</f>
        <v>6.0000000000000005E-2</v>
      </c>
    </row>
    <row r="23" spans="1:6" ht="15" customHeight="1" x14ac:dyDescent="0.25">
      <c r="A23" s="69"/>
      <c r="B23" s="63"/>
      <c r="C23" s="63"/>
      <c r="D23" s="63"/>
      <c r="E23" s="63"/>
      <c r="F23" s="63"/>
    </row>
    <row r="24" spans="1:6" ht="15" customHeight="1" x14ac:dyDescent="0.25">
      <c r="A24" s="70" t="str">
        <f>Stigninger!A142</f>
        <v>Pension</v>
      </c>
      <c r="B24" s="85" t="str">
        <f>$B$9</f>
        <v>1. marts 2020</v>
      </c>
      <c r="C24" s="85"/>
      <c r="D24" s="85" t="str">
        <f>$D$9</f>
        <v>1. marts 2021</v>
      </c>
      <c r="E24" s="85"/>
      <c r="F24" s="85" t="str">
        <f>$F$9</f>
        <v>1. marts 2022</v>
      </c>
    </row>
    <row r="25" spans="1:6" ht="15" customHeight="1" x14ac:dyDescent="0.2">
      <c r="A25" s="68" t="str">
        <f>Stigninger!A143</f>
        <v>Arbejdsgivers bidrag</v>
      </c>
      <c r="B25" s="63">
        <f>Resultat!C153</f>
        <v>0.08</v>
      </c>
      <c r="C25" s="63"/>
      <c r="D25" s="63">
        <f>Resultat!D153</f>
        <v>0.08</v>
      </c>
      <c r="E25" s="63"/>
      <c r="F25" s="63">
        <f>D25+Stigninger!E143</f>
        <v>0.08</v>
      </c>
    </row>
    <row r="26" spans="1:6" ht="15" customHeight="1" x14ac:dyDescent="0.2">
      <c r="A26" s="68" t="str">
        <f>Stigninger!A144</f>
        <v>Lønmodtagers bidrag</v>
      </c>
      <c r="B26" s="63">
        <f>Resultat!C154</f>
        <v>0.04</v>
      </c>
      <c r="C26" s="63"/>
      <c r="D26" s="63">
        <f>Resultat!D154</f>
        <v>0.04</v>
      </c>
      <c r="E26" s="63"/>
      <c r="F26" s="63">
        <f>D26+Stigninger!E144</f>
        <v>0.04</v>
      </c>
    </row>
    <row r="27" spans="1:6" ht="16.5" customHeight="1" thickBot="1" x14ac:dyDescent="0.3">
      <c r="A27" s="64" t="str">
        <f>Stigninger!A145</f>
        <v>Pensionsbidrag i alt</v>
      </c>
      <c r="B27" s="83">
        <f>SUM(B25:B26)</f>
        <v>0.12</v>
      </c>
      <c r="C27" s="84"/>
      <c r="D27" s="83">
        <f>SUM(D25:D26)</f>
        <v>0.12</v>
      </c>
      <c r="E27" s="84"/>
      <c r="F27" s="83">
        <f>SUM(F25:F26)</f>
        <v>0.12</v>
      </c>
    </row>
    <row r="28" spans="1:6" ht="15" customHeight="1" thickTop="1" x14ac:dyDescent="0.2">
      <c r="A28" s="67"/>
      <c r="B28" s="71"/>
      <c r="C28" s="71"/>
      <c r="D28" s="71"/>
      <c r="E28" s="71"/>
      <c r="F28" s="71"/>
    </row>
    <row r="29" spans="1:6" ht="15.75" x14ac:dyDescent="0.25">
      <c r="A29" s="174" t="str">
        <f>Resultat!A144</f>
        <v>Genetillæg pr. time</v>
      </c>
      <c r="B29" s="85" t="str">
        <f>$B$9</f>
        <v>1. marts 2020</v>
      </c>
      <c r="C29" s="85"/>
      <c r="D29" s="85" t="str">
        <f>$D$9</f>
        <v>1. marts 2021</v>
      </c>
      <c r="E29" s="85"/>
      <c r="F29" s="85" t="str">
        <f>$F$9</f>
        <v>1. marts 2022</v>
      </c>
    </row>
    <row r="30" spans="1:6" ht="15.75" x14ac:dyDescent="0.25">
      <c r="A30" s="174" t="str">
        <f>Resultat!A145</f>
        <v>Hverdage</v>
      </c>
    </row>
    <row r="31" spans="1:6" x14ac:dyDescent="0.2">
      <c r="A31" s="173" t="str">
        <f>Resultat!A146</f>
        <v>Dag – kl. 07.00 til kl. 18.00</v>
      </c>
      <c r="B31" s="71">
        <f>Resultat!C146</f>
        <v>0</v>
      </c>
      <c r="C31" s="71"/>
      <c r="D31" s="71">
        <f>Resultat!D146</f>
        <v>0</v>
      </c>
      <c r="E31" s="71"/>
      <c r="F31" s="71">
        <f>Resultat!E146</f>
        <v>0</v>
      </c>
    </row>
    <row r="32" spans="1:6" x14ac:dyDescent="0.2">
      <c r="A32" s="173" t="str">
        <f>Resultat!A147</f>
        <v>Aften – kl. 18.00 til kl. 24.00</v>
      </c>
      <c r="B32" s="71">
        <f>Resultat!C147</f>
        <v>21.07</v>
      </c>
      <c r="C32" s="71"/>
      <c r="D32" s="71">
        <f>Resultat!D147</f>
        <v>21.41</v>
      </c>
      <c r="E32" s="71"/>
      <c r="F32" s="71">
        <f>Resultat!E147</f>
        <v>21.75</v>
      </c>
    </row>
    <row r="33" spans="1:6" x14ac:dyDescent="0.2">
      <c r="A33" s="173" t="str">
        <f>Resultat!A148</f>
        <v>Nat – kl. 24.00 til kl. 07.00</v>
      </c>
      <c r="B33" s="71">
        <f>Resultat!C148</f>
        <v>38.61</v>
      </c>
      <c r="C33" s="71"/>
      <c r="D33" s="71">
        <f>Resultat!D148</f>
        <v>39.229999999999997</v>
      </c>
      <c r="E33" s="71"/>
      <c r="F33" s="71">
        <f>Resultat!E148</f>
        <v>39.86</v>
      </c>
    </row>
    <row r="34" spans="1:6" ht="15.75" x14ac:dyDescent="0.25">
      <c r="A34" s="174" t="str">
        <f>Resultat!A149</f>
        <v>Weekend</v>
      </c>
      <c r="B34" s="71"/>
      <c r="C34" s="71"/>
      <c r="D34" s="71"/>
      <c r="E34" s="71"/>
      <c r="F34" s="71"/>
    </row>
    <row r="35" spans="1:6" x14ac:dyDescent="0.2">
      <c r="A35" s="173" t="str">
        <f>Resultat!A150</f>
        <v>Lørdag kl. 07.00 til mandag kl. 07.00</v>
      </c>
      <c r="B35" s="71">
        <f>Resultat!C150</f>
        <v>56.14</v>
      </c>
      <c r="C35" s="71"/>
      <c r="D35" s="71">
        <f>Resultat!D150</f>
        <v>57.04</v>
      </c>
      <c r="E35" s="71"/>
      <c r="F35" s="71">
        <f>Resultat!E150</f>
        <v>57.95</v>
      </c>
    </row>
    <row r="36" spans="1:6" x14ac:dyDescent="0.2">
      <c r="A36" s="173" t="str">
        <f>Resultat!A151</f>
        <v>Skæve helligdage og øvrige helligdage</v>
      </c>
      <c r="B36" s="71">
        <f>Resultat!C151</f>
        <v>48.32</v>
      </c>
      <c r="C36" s="71"/>
      <c r="D36" s="71">
        <f>Resultat!D151</f>
        <v>49.09</v>
      </c>
      <c r="E36" s="71"/>
      <c r="F36" s="71">
        <f>Resultat!E151</f>
        <v>49.88</v>
      </c>
    </row>
  </sheetData>
  <sheetProtection algorithmName="SHA-512" hashValue="LIeDjiCqp8U0vI1Rbo06SKV7zHdggJhmQoIpnhZJe7BUPptmkOPxnjpugVIl73oki7mQ+bWDQU+Tld8hpF83uQ==" saltValue="rXlNtpe8N7p/Gkzg9JZnFg==" spinCount="100000" sheet="1" objects="1" scenarios="1"/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39370078740157483" top="0.51181102362204722" bottom="0.19685039370078741" header="0.5905511811023622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Navngivne områder</vt:lpstr>
      </vt:variant>
      <vt:variant>
        <vt:i4>12</vt:i4>
      </vt:variant>
    </vt:vector>
  </HeadingPairs>
  <TitlesOfParts>
    <vt:vector size="24" baseType="lpstr">
      <vt:lpstr>Stigninger</vt:lpstr>
      <vt:lpstr>Resultat</vt:lpstr>
      <vt:lpstr>Stigninger interaktiv</vt:lpstr>
      <vt:lpstr>Løn interaktiv</vt:lpstr>
      <vt:lpstr>Stigninger interaktiv farver</vt:lpstr>
      <vt:lpstr>Løn interaktiv farve</vt:lpstr>
      <vt:lpstr>B. Ambulance</vt:lpstr>
      <vt:lpstr>C. Brand</vt:lpstr>
      <vt:lpstr>D. Liggende sygetransport</vt:lpstr>
      <vt:lpstr>E. PTR (persontransport)</vt:lpstr>
      <vt:lpstr>F. Assistance 1</vt:lpstr>
      <vt:lpstr>F. Assistance 2</vt:lpstr>
      <vt:lpstr>'B. Ambulance'!Udskriftstitler</vt:lpstr>
      <vt:lpstr>'C. Brand'!Udskriftstitler</vt:lpstr>
      <vt:lpstr>'D. Liggende sygetransport'!Udskriftstitler</vt:lpstr>
      <vt:lpstr>'E. PTR (persontransport)'!Udskriftstitler</vt:lpstr>
      <vt:lpstr>'F. Assistance 1'!Udskriftstitler</vt:lpstr>
      <vt:lpstr>'F. Assistance 2'!Udskriftstitler</vt:lpstr>
      <vt:lpstr>'Løn interaktiv'!Udskriftstitler</vt:lpstr>
      <vt:lpstr>'Løn interaktiv farve'!Udskriftstitler</vt:lpstr>
      <vt:lpstr>Resultat!Udskriftstitler</vt:lpstr>
      <vt:lpstr>Stigninger!Udskriftstitler</vt:lpstr>
      <vt:lpstr>'Stigninger interaktiv'!Udskriftstitler</vt:lpstr>
      <vt:lpstr>'Stigninger interaktiv farver'!Udskriftstitler</vt:lpstr>
    </vt:vector>
  </TitlesOfParts>
  <Company>SiD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BJ0048</dc:creator>
  <cp:lastModifiedBy>Bjarne Jensen, Transportgruppen</cp:lastModifiedBy>
  <cp:lastPrinted>2020-03-22T14:27:38Z</cp:lastPrinted>
  <dcterms:created xsi:type="dcterms:W3CDTF">2004-02-04T09:14:54Z</dcterms:created>
  <dcterms:modified xsi:type="dcterms:W3CDTF">2020-03-31T07:14:07Z</dcterms:modified>
</cp:coreProperties>
</file>