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C:\Users\bj0048\OneDrive - 3F\Hjemmeside\Lønoversigter til hjemmesiden\2020-2023\Vaskerioverenskomst\"/>
    </mc:Choice>
  </mc:AlternateContent>
  <xr:revisionPtr revIDLastSave="1" documentId="14_{DF3CE15C-55EA-40D9-97C3-667C7743ACBF}" xr6:coauthVersionLast="45" xr6:coauthVersionMax="45" xr10:uidLastSave="{83841193-BD7C-46F7-B530-9F8E25D641D4}"/>
  <bookViews>
    <workbookView showHorizontalScroll="0" showVerticalScroll="0" xWindow="-120" yWindow="-120" windowWidth="29040" windowHeight="15840" firstSheet="6" activeTab="8" xr2:uid="{00000000-000D-0000-FFFF-FFFF00000000}"/>
  </bookViews>
  <sheets>
    <sheet name="Stigninger" sheetId="1" state="hidden" r:id="rId1"/>
    <sheet name="Generelle lønstigninger" sheetId="17" state="hidden" r:id="rId2"/>
    <sheet name="Omfang og stigningsprocent" sheetId="11" state="hidden" r:id="rId3"/>
    <sheet name="Lønsatser - Vaskeriarbejdere" sheetId="18" state="hidden" r:id="rId4"/>
    <sheet name="Resultat" sheetId="10" state="hidden" r:id="rId5"/>
    <sheet name="Lønoversigt til hjemmesiden" sheetId="16" state="hidden" r:id="rId6"/>
    <sheet name="Nye lønninger" sheetId="15" r:id="rId7"/>
    <sheet name="Aftalte lønstigninger" sheetId="14" r:id="rId8"/>
    <sheet name="Lønoversigt" sheetId="13" r:id="rId9"/>
  </sheets>
  <definedNames>
    <definedName name="_xlnm.Print_Titles" localSheetId="7">'Aftalte lønstigninger'!$1:$5</definedName>
    <definedName name="_xlnm.Print_Titles" localSheetId="8">Lønoversigt!$1:$5</definedName>
    <definedName name="_xlnm.Print_Titles" localSheetId="5">'Lønoversigt til hjemmesiden'!$1:$5</definedName>
    <definedName name="_xlnm.Print_Titles" localSheetId="6">'Nye lønninger'!$2:$5</definedName>
    <definedName name="_xlnm.Print_Titles" localSheetId="4">Resultat!$1:$2</definedName>
    <definedName name="_xlnm.Print_Titles" localSheetId="0">Stigninger!$1:$2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5" l="1"/>
  <c r="G17" i="15"/>
  <c r="F17" i="16"/>
  <c r="G20" i="14" l="1"/>
  <c r="B17" i="14"/>
  <c r="B17" i="13" s="1"/>
  <c r="B18" i="15"/>
  <c r="B17" i="15"/>
  <c r="B13" i="15"/>
  <c r="B12" i="15"/>
  <c r="G48" i="15" l="1"/>
  <c r="E48" i="15"/>
  <c r="C48" i="15"/>
  <c r="B49" i="14"/>
  <c r="B47" i="14"/>
  <c r="A46" i="16"/>
  <c r="B46" i="15" s="1"/>
  <c r="A44" i="16"/>
  <c r="B44" i="15" s="1"/>
  <c r="A35" i="10"/>
  <c r="A33" i="10"/>
  <c r="B41" i="16"/>
  <c r="D41" i="16"/>
  <c r="F41" i="16"/>
  <c r="J10" i="14"/>
  <c r="P10" i="13"/>
  <c r="O10" i="13"/>
  <c r="N10" i="13"/>
  <c r="M10" i="13"/>
  <c r="J10" i="13"/>
  <c r="B21" i="13"/>
  <c r="B20" i="13"/>
  <c r="B16" i="13"/>
  <c r="B15" i="13"/>
  <c r="B21" i="14"/>
  <c r="B20" i="14"/>
  <c r="B16" i="14"/>
  <c r="B15" i="14"/>
  <c r="B13" i="14"/>
  <c r="A16" i="16"/>
  <c r="A47" i="10"/>
  <c r="A39" i="10"/>
  <c r="A29" i="10"/>
  <c r="A24" i="10"/>
  <c r="A20" i="10"/>
  <c r="A15" i="10"/>
  <c r="B47" i="13" l="1"/>
  <c r="B49" i="13"/>
  <c r="B19" i="13"/>
  <c r="B16" i="15"/>
  <c r="B19" i="14"/>
  <c r="L10" i="13"/>
  <c r="L7" i="13"/>
  <c r="G10" i="13"/>
  <c r="E10" i="13"/>
  <c r="C10" i="13"/>
  <c r="C10" i="14"/>
  <c r="E10" i="14"/>
  <c r="G10" i="14"/>
  <c r="A4" i="14"/>
  <c r="A4" i="15"/>
  <c r="B58" i="15"/>
  <c r="B60" i="14" s="1"/>
  <c r="A60" i="16"/>
  <c r="B61" i="15" s="1"/>
  <c r="B63" i="14" s="1"/>
  <c r="G44" i="14" l="1"/>
  <c r="E44" i="14"/>
  <c r="C44" i="14"/>
  <c r="B63" i="13"/>
  <c r="A11" i="16" l="1"/>
  <c r="A10" i="16"/>
  <c r="A9" i="16"/>
  <c r="A4" i="10"/>
  <c r="A8" i="16" s="1"/>
  <c r="B12" i="14" s="1"/>
  <c r="A51" i="10"/>
  <c r="A65" i="16" s="1"/>
  <c r="A50" i="10"/>
  <c r="A64" i="16" s="1"/>
  <c r="A49" i="10"/>
  <c r="A63" i="16" s="1"/>
  <c r="A62" i="16"/>
  <c r="A46" i="10"/>
  <c r="A59" i="16" s="1"/>
  <c r="A45" i="10"/>
  <c r="A56" i="16" s="1"/>
  <c r="A43" i="10"/>
  <c r="A54" i="16" s="1"/>
  <c r="A42" i="10"/>
  <c r="A53" i="16" s="1"/>
  <c r="A41" i="10"/>
  <c r="A52" i="16" s="1"/>
  <c r="A51" i="16"/>
  <c r="A38" i="10"/>
  <c r="A49" i="16" s="1"/>
  <c r="A37" i="10"/>
  <c r="A48" i="16" s="1"/>
  <c r="A34" i="10"/>
  <c r="A45" i="16" s="1"/>
  <c r="A32" i="10"/>
  <c r="A43" i="16" s="1"/>
  <c r="B43" i="15" s="1"/>
  <c r="B46" i="14" s="1"/>
  <c r="A31" i="10"/>
  <c r="A42" i="16" s="1"/>
  <c r="A41" i="16"/>
  <c r="B41" i="15" s="1"/>
  <c r="A28" i="10"/>
  <c r="A39" i="16" s="1"/>
  <c r="A27" i="10"/>
  <c r="A38" i="16" s="1"/>
  <c r="A26" i="10"/>
  <c r="A37" i="16" s="1"/>
  <c r="A36" i="16"/>
  <c r="A23" i="10"/>
  <c r="A34" i="16" s="1"/>
  <c r="A22" i="10"/>
  <c r="A33" i="16" s="1"/>
  <c r="A32" i="16"/>
  <c r="A19" i="10"/>
  <c r="A30" i="16" s="1"/>
  <c r="B30" i="15" s="1"/>
  <c r="A18" i="10"/>
  <c r="A29" i="16" s="1"/>
  <c r="B29" i="15" s="1"/>
  <c r="B32" i="13" s="1"/>
  <c r="A17" i="10"/>
  <c r="A28" i="16" s="1"/>
  <c r="B28" i="15" s="1"/>
  <c r="A27" i="16"/>
  <c r="B27" i="15" s="1"/>
  <c r="A14" i="10"/>
  <c r="A25" i="16" s="1"/>
  <c r="B25" i="15" s="1"/>
  <c r="A13" i="10"/>
  <c r="A24" i="16" s="1"/>
  <c r="B24" i="15" s="1"/>
  <c r="A11" i="10"/>
  <c r="A22" i="16" s="1"/>
  <c r="B22" i="15" s="1"/>
  <c r="A9" i="10"/>
  <c r="A20" i="16" s="1"/>
  <c r="B20" i="15" s="1"/>
  <c r="A3" i="10"/>
  <c r="A7" i="16" s="1"/>
  <c r="B11" i="14" s="1"/>
  <c r="B14" i="14" l="1"/>
  <c r="B14" i="13"/>
  <c r="G62" i="14"/>
  <c r="E62" i="14"/>
  <c r="C62" i="14"/>
  <c r="B60" i="15"/>
  <c r="B62" i="14" s="1"/>
  <c r="B46" i="10"/>
  <c r="C46" i="10" s="1"/>
  <c r="B59" i="16" l="1"/>
  <c r="C62" i="13" s="1"/>
  <c r="C60" i="15"/>
  <c r="D46" i="10"/>
  <c r="B62" i="13"/>
  <c r="A1" i="14"/>
  <c r="A1" i="15"/>
  <c r="E46" i="10" l="1"/>
  <c r="E60" i="15"/>
  <c r="D59" i="16"/>
  <c r="E62" i="13" s="1"/>
  <c r="C36" i="1"/>
  <c r="G60" i="15" l="1"/>
  <c r="F59" i="16"/>
  <c r="G62" i="13" s="1"/>
  <c r="D36" i="1"/>
  <c r="E36" i="1" s="1"/>
  <c r="C24" i="1"/>
  <c r="C25" i="1"/>
  <c r="C26" i="1"/>
  <c r="A1" i="13" l="1"/>
  <c r="C17" i="1" l="1"/>
  <c r="G66" i="14" l="1"/>
  <c r="G59" i="14"/>
  <c r="G57" i="14"/>
  <c r="G56" i="14"/>
  <c r="G55" i="14"/>
  <c r="G52" i="14"/>
  <c r="G51" i="14"/>
  <c r="G28" i="14"/>
  <c r="G27" i="14"/>
  <c r="G12" i="14"/>
  <c r="G11" i="14"/>
  <c r="G67" i="14"/>
  <c r="B65" i="15"/>
  <c r="B50" i="15"/>
  <c r="B49" i="15"/>
  <c r="B45" i="15"/>
  <c r="B42" i="15"/>
  <c r="B31" i="14"/>
  <c r="B33" i="15"/>
  <c r="B34" i="15"/>
  <c r="B37" i="15"/>
  <c r="B38" i="15"/>
  <c r="B39" i="15"/>
  <c r="B11" i="15"/>
  <c r="B10" i="15"/>
  <c r="B9" i="15"/>
  <c r="B8" i="15"/>
  <c r="B7" i="15"/>
  <c r="B32" i="10"/>
  <c r="C30" i="1"/>
  <c r="B26" i="10"/>
  <c r="C41" i="14"/>
  <c r="B17" i="10"/>
  <c r="B48" i="13" l="1"/>
  <c r="B48" i="14"/>
  <c r="C40" i="14"/>
  <c r="D30" i="1"/>
  <c r="E46" i="14" s="1"/>
  <c r="B31" i="13"/>
  <c r="C46" i="14"/>
  <c r="G68" i="14"/>
  <c r="C26" i="10"/>
  <c r="B37" i="16" s="1"/>
  <c r="C32" i="10"/>
  <c r="B43" i="16" s="1"/>
  <c r="D25" i="1"/>
  <c r="E25" i="1" s="1"/>
  <c r="D24" i="1"/>
  <c r="E24" i="1" s="1"/>
  <c r="D49" i="1"/>
  <c r="C49" i="1"/>
  <c r="E4" i="1"/>
  <c r="C43" i="15" l="1"/>
  <c r="C46" i="13"/>
  <c r="E30" i="1"/>
  <c r="G46" i="14" s="1"/>
  <c r="G40" i="14"/>
  <c r="E40" i="14"/>
  <c r="G41" i="14"/>
  <c r="E41" i="14"/>
  <c r="E5" i="1"/>
  <c r="G25" i="14" s="1"/>
  <c r="G23" i="14"/>
  <c r="D32" i="10"/>
  <c r="D43" i="16" s="1"/>
  <c r="C37" i="15"/>
  <c r="C40" i="13"/>
  <c r="D26" i="10"/>
  <c r="C32" i="1"/>
  <c r="C29" i="1"/>
  <c r="C16" i="1"/>
  <c r="C15" i="1"/>
  <c r="B23" i="10"/>
  <c r="E43" i="15" l="1"/>
  <c r="E46" i="13"/>
  <c r="B22" i="10"/>
  <c r="C17" i="10"/>
  <c r="B28" i="16" s="1"/>
  <c r="C31" i="14"/>
  <c r="E26" i="10"/>
  <c r="F37" i="16" s="1"/>
  <c r="D37" i="16"/>
  <c r="E32" i="10"/>
  <c r="F43" i="16" s="1"/>
  <c r="B28" i="10"/>
  <c r="B27" i="10"/>
  <c r="D29" i="1"/>
  <c r="D16" i="1"/>
  <c r="D17" i="1"/>
  <c r="E17" i="1" s="1"/>
  <c r="C20" i="1"/>
  <c r="D20" i="1" s="1"/>
  <c r="E36" i="14" s="1"/>
  <c r="D26" i="1"/>
  <c r="E42" i="14" s="1"/>
  <c r="D32" i="1"/>
  <c r="D15" i="1"/>
  <c r="E15" i="1" s="1"/>
  <c r="G31" i="14" s="1"/>
  <c r="C21" i="1"/>
  <c r="D21" i="1" s="1"/>
  <c r="E32" i="17"/>
  <c r="D4" i="1"/>
  <c r="D5" i="1" s="1"/>
  <c r="E25" i="14" s="1"/>
  <c r="C4" i="1"/>
  <c r="C5" i="1" s="1"/>
  <c r="C25" i="14" s="1"/>
  <c r="A3" i="15"/>
  <c r="A3" i="13" s="1"/>
  <c r="B13" i="13"/>
  <c r="B23" i="14"/>
  <c r="B23" i="13" s="1"/>
  <c r="E12" i="14"/>
  <c r="C12" i="14"/>
  <c r="B12" i="13"/>
  <c r="B9" i="10"/>
  <c r="B6" i="10"/>
  <c r="B4" i="10"/>
  <c r="B37" i="13"/>
  <c r="B36" i="13"/>
  <c r="B42" i="13"/>
  <c r="B41" i="13"/>
  <c r="B40" i="13"/>
  <c r="B44" i="14"/>
  <c r="B52" i="15"/>
  <c r="B53" i="15"/>
  <c r="B55" i="13" s="1"/>
  <c r="B36" i="15"/>
  <c r="B32" i="15"/>
  <c r="B34" i="10"/>
  <c r="C34" i="10" s="1"/>
  <c r="B45" i="16" s="1"/>
  <c r="B38" i="10"/>
  <c r="D39" i="18" s="1"/>
  <c r="B37" i="10"/>
  <c r="D38" i="18" s="1"/>
  <c r="E57" i="14"/>
  <c r="C57" i="14"/>
  <c r="E56" i="14"/>
  <c r="C56" i="14"/>
  <c r="E55" i="14"/>
  <c r="C55" i="14"/>
  <c r="B55" i="15"/>
  <c r="B57" i="14" s="1"/>
  <c r="B54" i="15"/>
  <c r="B56" i="13" s="1"/>
  <c r="B43" i="10"/>
  <c r="C43" i="10" s="1"/>
  <c r="B42" i="10"/>
  <c r="C42" i="10" s="1"/>
  <c r="B41" i="10"/>
  <c r="C41" i="10" s="1"/>
  <c r="B52" i="16" s="1"/>
  <c r="B28" i="13"/>
  <c r="B27" i="13"/>
  <c r="B46" i="13"/>
  <c r="B33" i="13"/>
  <c r="L12" i="13"/>
  <c r="L11" i="13"/>
  <c r="B25" i="13"/>
  <c r="B11" i="13"/>
  <c r="L8" i="13"/>
  <c r="E59" i="14"/>
  <c r="C59" i="14"/>
  <c r="B33" i="14"/>
  <c r="E28" i="14"/>
  <c r="C28" i="14"/>
  <c r="C27" i="14"/>
  <c r="B28" i="14"/>
  <c r="B27" i="14"/>
  <c r="E11" i="14"/>
  <c r="C11" i="14"/>
  <c r="B25" i="14"/>
  <c r="B57" i="15"/>
  <c r="B59" i="13" s="1"/>
  <c r="B45" i="10"/>
  <c r="C45" i="10" s="1"/>
  <c r="B11" i="10"/>
  <c r="B31" i="10"/>
  <c r="C45" i="14"/>
  <c r="C33" i="14"/>
  <c r="D42" i="17"/>
  <c r="D3" i="17"/>
  <c r="D4" i="17"/>
  <c r="D6" i="17"/>
  <c r="B49" i="10"/>
  <c r="C49" i="10" s="1"/>
  <c r="E3" i="17"/>
  <c r="E4" i="17"/>
  <c r="E6" i="17"/>
  <c r="F3" i="17"/>
  <c r="F4" i="17"/>
  <c r="F2" i="17"/>
  <c r="E2" i="17"/>
  <c r="D2" i="17"/>
  <c r="F1" i="17"/>
  <c r="E1" i="17"/>
  <c r="D1" i="17"/>
  <c r="G2" i="18"/>
  <c r="F2" i="18"/>
  <c r="E2" i="18"/>
  <c r="D2" i="18"/>
  <c r="G1" i="18"/>
  <c r="F1" i="18"/>
  <c r="E1" i="18"/>
  <c r="D1" i="18"/>
  <c r="A4" i="18"/>
  <c r="A39" i="18"/>
  <c r="A38" i="18"/>
  <c r="B19" i="10"/>
  <c r="C19" i="10" s="1"/>
  <c r="B30" i="16" s="1"/>
  <c r="B18" i="10"/>
  <c r="C18" i="10" s="1"/>
  <c r="B29" i="16" s="1"/>
  <c r="A36" i="18"/>
  <c r="A35" i="18"/>
  <c r="A34" i="18"/>
  <c r="A33" i="18"/>
  <c r="A32" i="18"/>
  <c r="A31" i="18"/>
  <c r="B13" i="10"/>
  <c r="C13" i="10" s="1"/>
  <c r="B24" i="16" s="1"/>
  <c r="C24" i="15" s="1"/>
  <c r="E27" i="14"/>
  <c r="A26" i="18"/>
  <c r="A25" i="18"/>
  <c r="A24" i="18"/>
  <c r="B14" i="10"/>
  <c r="C14" i="10" s="1"/>
  <c r="B25" i="16" s="1"/>
  <c r="C25" i="15" s="1"/>
  <c r="A29" i="18"/>
  <c r="A28" i="18"/>
  <c r="A6" i="18"/>
  <c r="A3" i="18"/>
  <c r="H41" i="18"/>
  <c r="G42" i="17"/>
  <c r="D40" i="17"/>
  <c r="A40" i="17"/>
  <c r="D39" i="17"/>
  <c r="A39" i="17"/>
  <c r="A37" i="17"/>
  <c r="D36" i="17"/>
  <c r="A36" i="17"/>
  <c r="D33" i="17"/>
  <c r="A33" i="17"/>
  <c r="D32" i="17"/>
  <c r="F32" i="17"/>
  <c r="A32" i="17"/>
  <c r="A31" i="17"/>
  <c r="A30" i="17"/>
  <c r="D29" i="17"/>
  <c r="D25" i="17"/>
  <c r="E25" i="17"/>
  <c r="F25" i="17"/>
  <c r="A25" i="17"/>
  <c r="A3" i="17"/>
  <c r="A35" i="17"/>
  <c r="A29" i="17"/>
  <c r="A28" i="17"/>
  <c r="D44" i="17"/>
  <c r="D45" i="17" s="1"/>
  <c r="E44" i="17"/>
  <c r="E45" i="17" s="1"/>
  <c r="F44" i="17"/>
  <c r="F45" i="17" s="1"/>
  <c r="G43" i="17"/>
  <c r="D26" i="17"/>
  <c r="E26" i="17"/>
  <c r="F26" i="17"/>
  <c r="A26" i="17"/>
  <c r="A4" i="17"/>
  <c r="A7" i="17"/>
  <c r="B63" i="15"/>
  <c r="B64" i="15"/>
  <c r="B66" i="15"/>
  <c r="B52" i="14"/>
  <c r="B51" i="14"/>
  <c r="B45" i="14"/>
  <c r="B32" i="14"/>
  <c r="B30" i="14"/>
  <c r="E67" i="14"/>
  <c r="E66" i="14"/>
  <c r="C67" i="14"/>
  <c r="C66" i="14"/>
  <c r="C32" i="14"/>
  <c r="P12" i="14"/>
  <c r="G13" i="14" s="1"/>
  <c r="O12" i="14"/>
  <c r="E13" i="14" s="1"/>
  <c r="N12" i="14"/>
  <c r="C13" i="14" s="1"/>
  <c r="B68" i="14"/>
  <c r="B67" i="14"/>
  <c r="B66" i="14"/>
  <c r="B65" i="14"/>
  <c r="C8" i="14"/>
  <c r="C7" i="14"/>
  <c r="A4" i="13"/>
  <c r="B60" i="13"/>
  <c r="B52" i="13"/>
  <c r="B51" i="13"/>
  <c r="B45" i="13"/>
  <c r="B30" i="13"/>
  <c r="C8" i="13"/>
  <c r="C7" i="13"/>
  <c r="F2" i="11"/>
  <c r="E2" i="11"/>
  <c r="D2" i="11"/>
  <c r="C2" i="11"/>
  <c r="F1" i="11"/>
  <c r="E1" i="11"/>
  <c r="D1" i="11"/>
  <c r="C1" i="11"/>
  <c r="A18" i="11"/>
  <c r="A16" i="11"/>
  <c r="A15" i="11"/>
  <c r="A13" i="11"/>
  <c r="A12" i="11"/>
  <c r="A11" i="11"/>
  <c r="A10" i="11"/>
  <c r="A8" i="11"/>
  <c r="A7" i="11"/>
  <c r="A6" i="11"/>
  <c r="A5" i="11"/>
  <c r="A3" i="11"/>
  <c r="F7" i="11"/>
  <c r="F18" i="11"/>
  <c r="C7" i="11"/>
  <c r="C18" i="11"/>
  <c r="E7" i="11"/>
  <c r="E18" i="11"/>
  <c r="D7" i="11"/>
  <c r="D18" i="11"/>
  <c r="E2" i="10"/>
  <c r="D2" i="10"/>
  <c r="C2" i="10"/>
  <c r="B2" i="10"/>
  <c r="E1" i="10"/>
  <c r="D1" i="10"/>
  <c r="C1" i="10"/>
  <c r="B1" i="10"/>
  <c r="E49" i="1"/>
  <c r="B48" i="1"/>
  <c r="B49" i="1" s="1"/>
  <c r="C51" i="14"/>
  <c r="F6" i="17"/>
  <c r="E52" i="14"/>
  <c r="F40" i="17"/>
  <c r="F39" i="17"/>
  <c r="C52" i="14"/>
  <c r="E40" i="17"/>
  <c r="E51" i="14"/>
  <c r="E39" i="17"/>
  <c r="F31" i="17"/>
  <c r="F29" i="17"/>
  <c r="D31" i="17"/>
  <c r="M12" i="13" l="1"/>
  <c r="M12" i="14"/>
  <c r="J13" i="14" s="1"/>
  <c r="J12" i="14"/>
  <c r="J12" i="13"/>
  <c r="J13" i="13"/>
  <c r="G14" i="14"/>
  <c r="E14" i="14"/>
  <c r="C4" i="10"/>
  <c r="C12" i="13" s="1"/>
  <c r="J8" i="15"/>
  <c r="H8" i="16"/>
  <c r="C6" i="10"/>
  <c r="C10" i="15" s="1"/>
  <c r="J10" i="15"/>
  <c r="H10" i="16"/>
  <c r="G43" i="15"/>
  <c r="G46" i="13"/>
  <c r="C28" i="15"/>
  <c r="C31" i="13"/>
  <c r="G45" i="17"/>
  <c r="C23" i="14"/>
  <c r="D17" i="10"/>
  <c r="D28" i="16" s="1"/>
  <c r="E32" i="1"/>
  <c r="G48" i="14" s="1"/>
  <c r="G44" i="17"/>
  <c r="E26" i="1"/>
  <c r="G42" i="14" s="1"/>
  <c r="E21" i="1"/>
  <c r="G37" i="14" s="1"/>
  <c r="E48" i="14"/>
  <c r="E29" i="1"/>
  <c r="G45" i="14" s="1"/>
  <c r="E20" i="1"/>
  <c r="G36" i="14" s="1"/>
  <c r="E16" i="1"/>
  <c r="G32" i="14" s="1"/>
  <c r="G33" i="14"/>
  <c r="E31" i="14"/>
  <c r="B57" i="13"/>
  <c r="B59" i="14"/>
  <c r="B56" i="14"/>
  <c r="C29" i="15"/>
  <c r="C32" i="13"/>
  <c r="B55" i="14"/>
  <c r="C48" i="13"/>
  <c r="C45" i="15"/>
  <c r="C33" i="13"/>
  <c r="C30" i="15"/>
  <c r="E37" i="15"/>
  <c r="E40" i="13"/>
  <c r="C55" i="13"/>
  <c r="C53" i="15"/>
  <c r="G37" i="15"/>
  <c r="G40" i="13"/>
  <c r="F37" i="17"/>
  <c r="C22" i="10"/>
  <c r="A3" i="14"/>
  <c r="C23" i="10"/>
  <c r="E23" i="14"/>
  <c r="C9" i="10"/>
  <c r="D9" i="10" s="1"/>
  <c r="N12" i="13"/>
  <c r="C13" i="13" s="1"/>
  <c r="C37" i="10"/>
  <c r="D37" i="10" s="1"/>
  <c r="C38" i="10"/>
  <c r="D38" i="10" s="1"/>
  <c r="C11" i="10"/>
  <c r="C14" i="14"/>
  <c r="D37" i="17"/>
  <c r="B10" i="16"/>
  <c r="B36" i="14"/>
  <c r="B37" i="14"/>
  <c r="B40" i="14"/>
  <c r="B41" i="14"/>
  <c r="B42" i="14"/>
  <c r="B39" i="13"/>
  <c r="B39" i="14"/>
  <c r="B35" i="13"/>
  <c r="B35" i="14"/>
  <c r="D6" i="18"/>
  <c r="E37" i="14"/>
  <c r="C42" i="14"/>
  <c r="C36" i="14"/>
  <c r="C37" i="14"/>
  <c r="B44" i="13"/>
  <c r="D4" i="18"/>
  <c r="G25" i="17"/>
  <c r="G40" i="17"/>
  <c r="E68" i="14"/>
  <c r="G26" i="17"/>
  <c r="F5" i="17"/>
  <c r="F7" i="17" s="1"/>
  <c r="F9" i="17" s="1"/>
  <c r="F12" i="17" s="1"/>
  <c r="E5" i="17"/>
  <c r="E7" i="17" s="1"/>
  <c r="E9" i="17" s="1"/>
  <c r="E11" i="17" s="1"/>
  <c r="C48" i="14"/>
  <c r="D34" i="18"/>
  <c r="D32" i="18"/>
  <c r="B65" i="13"/>
  <c r="D28" i="18"/>
  <c r="C11" i="11"/>
  <c r="C68" i="14"/>
  <c r="D45" i="10"/>
  <c r="D56" i="16" s="1"/>
  <c r="C13" i="11"/>
  <c r="B66" i="13"/>
  <c r="C31" i="10"/>
  <c r="B56" i="16"/>
  <c r="B63" i="16"/>
  <c r="E36" i="17"/>
  <c r="E45" i="14"/>
  <c r="E37" i="17"/>
  <c r="D34" i="10"/>
  <c r="D33" i="18"/>
  <c r="E6" i="18"/>
  <c r="D6" i="11"/>
  <c r="E25" i="18"/>
  <c r="C50" i="10"/>
  <c r="C67" i="13" s="1"/>
  <c r="E42" i="18"/>
  <c r="D49" i="10"/>
  <c r="D36" i="18"/>
  <c r="D42" i="18"/>
  <c r="B50" i="10"/>
  <c r="B51" i="10" s="1"/>
  <c r="D29" i="18"/>
  <c r="B67" i="13"/>
  <c r="C6" i="11"/>
  <c r="D26" i="18"/>
  <c r="C16" i="11"/>
  <c r="C8" i="11"/>
  <c r="D25" i="18"/>
  <c r="E4" i="18"/>
  <c r="D5" i="17"/>
  <c r="D7" i="17" s="1"/>
  <c r="D9" i="17" s="1"/>
  <c r="C12" i="11"/>
  <c r="D30" i="17"/>
  <c r="G39" i="17"/>
  <c r="G32" i="17"/>
  <c r="E31" i="17"/>
  <c r="E33" i="17"/>
  <c r="E33" i="14"/>
  <c r="E32" i="14"/>
  <c r="E30" i="17"/>
  <c r="G31" i="17"/>
  <c r="E29" i="17"/>
  <c r="G29" i="17" s="1"/>
  <c r="D8" i="11"/>
  <c r="E26" i="18"/>
  <c r="D12" i="11"/>
  <c r="E33" i="18"/>
  <c r="D18" i="10"/>
  <c r="E36" i="18"/>
  <c r="D19" i="10"/>
  <c r="E19" i="10" s="1"/>
  <c r="D13" i="11"/>
  <c r="D41" i="10"/>
  <c r="D43" i="10"/>
  <c r="B54" i="16"/>
  <c r="D14" i="10"/>
  <c r="D25" i="16" s="1"/>
  <c r="E25" i="15" s="1"/>
  <c r="E29" i="18"/>
  <c r="C28" i="13"/>
  <c r="C27" i="13"/>
  <c r="E28" i="18"/>
  <c r="D13" i="10"/>
  <c r="D24" i="16" s="1"/>
  <c r="E24" i="15" s="1"/>
  <c r="E32" i="18"/>
  <c r="D11" i="11"/>
  <c r="E34" i="18"/>
  <c r="B53" i="16"/>
  <c r="D42" i="10"/>
  <c r="B68" i="13"/>
  <c r="B54" i="14"/>
  <c r="B54" i="13"/>
  <c r="B8" i="16" l="1"/>
  <c r="D6" i="10"/>
  <c r="E10" i="15" s="1"/>
  <c r="D4" i="10"/>
  <c r="C8" i="15"/>
  <c r="F36" i="17"/>
  <c r="G36" i="17" s="1"/>
  <c r="E28" i="15"/>
  <c r="E31" i="13"/>
  <c r="F30" i="17"/>
  <c r="G30" i="17" s="1"/>
  <c r="F33" i="17"/>
  <c r="G33" i="17" s="1"/>
  <c r="C55" i="15"/>
  <c r="C57" i="13"/>
  <c r="E17" i="10"/>
  <c r="F28" i="16" s="1"/>
  <c r="E34" i="10"/>
  <c r="F45" i="16" s="1"/>
  <c r="D45" i="16"/>
  <c r="E57" i="15"/>
  <c r="E59" i="13"/>
  <c r="C56" i="13"/>
  <c r="C54" i="15"/>
  <c r="B64" i="16"/>
  <c r="B65" i="16" s="1"/>
  <c r="C64" i="15"/>
  <c r="C65" i="15" s="1"/>
  <c r="C66" i="15" s="1"/>
  <c r="C66" i="13"/>
  <c r="C68" i="13" s="1"/>
  <c r="C57" i="15"/>
  <c r="C59" i="13"/>
  <c r="D22" i="10"/>
  <c r="E22" i="10" s="1"/>
  <c r="F33" i="16" s="1"/>
  <c r="D16" i="11"/>
  <c r="E16" i="11"/>
  <c r="E38" i="18"/>
  <c r="F38" i="18"/>
  <c r="D49" i="16"/>
  <c r="E38" i="10"/>
  <c r="F49" i="16" s="1"/>
  <c r="B48" i="16"/>
  <c r="E9" i="10"/>
  <c r="D48" i="16"/>
  <c r="E37" i="10"/>
  <c r="F48" i="16" s="1"/>
  <c r="D11" i="10"/>
  <c r="B22" i="16"/>
  <c r="C22" i="15" s="1"/>
  <c r="C51" i="10"/>
  <c r="B20" i="16"/>
  <c r="C20" i="15" s="1"/>
  <c r="D20" i="16"/>
  <c r="E20" i="15" s="1"/>
  <c r="C23" i="13"/>
  <c r="D23" i="10"/>
  <c r="C28" i="10"/>
  <c r="E23" i="13"/>
  <c r="C25" i="13"/>
  <c r="D10" i="16"/>
  <c r="F39" i="18"/>
  <c r="E39" i="18"/>
  <c r="B49" i="16"/>
  <c r="G37" i="17"/>
  <c r="G38" i="18"/>
  <c r="H38" i="18" s="1"/>
  <c r="E14" i="17"/>
  <c r="D31" i="10"/>
  <c r="E31" i="10" s="1"/>
  <c r="B42" i="16"/>
  <c r="B34" i="16"/>
  <c r="F15" i="17"/>
  <c r="E12" i="17"/>
  <c r="G5" i="17"/>
  <c r="F14" i="17"/>
  <c r="E15" i="17"/>
  <c r="F11" i="17"/>
  <c r="E45" i="10"/>
  <c r="F56" i="16" s="1"/>
  <c r="D30" i="16"/>
  <c r="D29" i="16"/>
  <c r="D63" i="16"/>
  <c r="D43" i="18"/>
  <c r="D44" i="18" s="1"/>
  <c r="E6" i="11"/>
  <c r="F25" i="18"/>
  <c r="F6" i="18"/>
  <c r="E49" i="10"/>
  <c r="F42" i="18"/>
  <c r="F43" i="18" s="1"/>
  <c r="F44" i="18" s="1"/>
  <c r="D50" i="10"/>
  <c r="E67" i="13" s="1"/>
  <c r="E43" i="18"/>
  <c r="E44" i="18" s="1"/>
  <c r="F4" i="18"/>
  <c r="D53" i="16"/>
  <c r="E42" i="10"/>
  <c r="F34" i="18"/>
  <c r="E27" i="13"/>
  <c r="E13" i="10"/>
  <c r="F24" i="16" s="1"/>
  <c r="G24" i="15" s="1"/>
  <c r="F28" i="18"/>
  <c r="D52" i="16"/>
  <c r="E41" i="10"/>
  <c r="F26" i="18"/>
  <c r="E8" i="11"/>
  <c r="F32" i="18"/>
  <c r="E11" i="11"/>
  <c r="F29" i="18"/>
  <c r="E28" i="13"/>
  <c r="E14" i="10"/>
  <c r="F25" i="16" s="1"/>
  <c r="G25" i="15" s="1"/>
  <c r="D54" i="16"/>
  <c r="E43" i="10"/>
  <c r="D14" i="17"/>
  <c r="D15" i="17"/>
  <c r="D11" i="17"/>
  <c r="D12" i="17"/>
  <c r="G9" i="17"/>
  <c r="F30" i="16"/>
  <c r="F36" i="18"/>
  <c r="E13" i="11"/>
  <c r="F33" i="18"/>
  <c r="E12" i="11"/>
  <c r="E18" i="10"/>
  <c r="F29" i="16" s="1"/>
  <c r="E6" i="10" l="1"/>
  <c r="G10" i="15" s="1"/>
  <c r="O12" i="13"/>
  <c r="E13" i="13" s="1"/>
  <c r="E8" i="15"/>
  <c r="D8" i="16"/>
  <c r="E4" i="10"/>
  <c r="E12" i="13"/>
  <c r="G28" i="15"/>
  <c r="G31" i="13"/>
  <c r="E23" i="10"/>
  <c r="F34" i="16" s="1"/>
  <c r="G27" i="13"/>
  <c r="E54" i="15"/>
  <c r="E56" i="13"/>
  <c r="E29" i="15"/>
  <c r="E32" i="13"/>
  <c r="G33" i="15"/>
  <c r="G36" i="13"/>
  <c r="G29" i="15"/>
  <c r="G32" i="13"/>
  <c r="E57" i="13"/>
  <c r="E55" i="15"/>
  <c r="E50" i="10"/>
  <c r="F63" i="16"/>
  <c r="F64" i="16" s="1"/>
  <c r="F65" i="16" s="1"/>
  <c r="E33" i="13"/>
  <c r="E30" i="15"/>
  <c r="G59" i="13"/>
  <c r="G57" i="15"/>
  <c r="E51" i="13"/>
  <c r="E49" i="15"/>
  <c r="C49" i="15"/>
  <c r="C51" i="13"/>
  <c r="E45" i="15"/>
  <c r="E48" i="13"/>
  <c r="C45" i="13"/>
  <c r="C42" i="15"/>
  <c r="E50" i="15"/>
  <c r="E52" i="13"/>
  <c r="G51" i="13"/>
  <c r="G49" i="15"/>
  <c r="G23" i="13"/>
  <c r="F20" i="16"/>
  <c r="G20" i="15" s="1"/>
  <c r="G30" i="15"/>
  <c r="G33" i="13"/>
  <c r="G28" i="13"/>
  <c r="E53" i="15"/>
  <c r="E55" i="13"/>
  <c r="E64" i="15"/>
  <c r="E65" i="15" s="1"/>
  <c r="E66" i="15" s="1"/>
  <c r="E66" i="13"/>
  <c r="E68" i="13" s="1"/>
  <c r="C34" i="15"/>
  <c r="C37" i="13"/>
  <c r="C50" i="15"/>
  <c r="C52" i="13"/>
  <c r="P12" i="13"/>
  <c r="G13" i="13" s="1"/>
  <c r="F10" i="16"/>
  <c r="G52" i="13"/>
  <c r="G50" i="15"/>
  <c r="G45" i="15"/>
  <c r="G48" i="13"/>
  <c r="E11" i="10"/>
  <c r="E25" i="13"/>
  <c r="D22" i="16"/>
  <c r="E22" i="15" s="1"/>
  <c r="F42" i="16"/>
  <c r="F16" i="11"/>
  <c r="F16" i="17"/>
  <c r="F17" i="17" s="1"/>
  <c r="D28" i="10"/>
  <c r="E28" i="10" s="1"/>
  <c r="B39" i="16"/>
  <c r="D51" i="10"/>
  <c r="E16" i="17"/>
  <c r="E17" i="17" s="1"/>
  <c r="D42" i="16"/>
  <c r="G12" i="17"/>
  <c r="B33" i="16"/>
  <c r="D34" i="16"/>
  <c r="G11" i="17"/>
  <c r="D16" i="17"/>
  <c r="D17" i="17" s="1"/>
  <c r="D64" i="16"/>
  <c r="D65" i="16" s="1"/>
  <c r="G25" i="18"/>
  <c r="H25" i="18" s="1"/>
  <c r="F6" i="11"/>
  <c r="G6" i="18"/>
  <c r="G42" i="18"/>
  <c r="G4" i="18"/>
  <c r="G36" i="18"/>
  <c r="H36" i="18" s="1"/>
  <c r="F13" i="11"/>
  <c r="G29" i="18"/>
  <c r="H29" i="18" s="1"/>
  <c r="F11" i="11"/>
  <c r="G32" i="18"/>
  <c r="H32" i="18" s="1"/>
  <c r="G28" i="18"/>
  <c r="H28" i="18" s="1"/>
  <c r="G34" i="18"/>
  <c r="H34" i="18" s="1"/>
  <c r="F53" i="16"/>
  <c r="F12" i="11"/>
  <c r="G33" i="18"/>
  <c r="H33" i="18" s="1"/>
  <c r="F54" i="16"/>
  <c r="G26" i="18"/>
  <c r="H26" i="18" s="1"/>
  <c r="F8" i="11"/>
  <c r="F52" i="16"/>
  <c r="G8" i="15" l="1"/>
  <c r="F8" i="16"/>
  <c r="G12" i="13"/>
  <c r="G34" i="15"/>
  <c r="G37" i="13"/>
  <c r="G55" i="15"/>
  <c r="G57" i="13"/>
  <c r="E34" i="15"/>
  <c r="E37" i="13"/>
  <c r="G45" i="13"/>
  <c r="G42" i="15"/>
  <c r="E51" i="10"/>
  <c r="G67" i="13"/>
  <c r="G53" i="15"/>
  <c r="G55" i="13"/>
  <c r="C33" i="15"/>
  <c r="C36" i="13"/>
  <c r="E42" i="15"/>
  <c r="E45" i="13"/>
  <c r="G54" i="15"/>
  <c r="G56" i="13"/>
  <c r="C39" i="15"/>
  <c r="C42" i="13"/>
  <c r="G64" i="15"/>
  <c r="G65" i="15" s="1"/>
  <c r="G66" i="15" s="1"/>
  <c r="G66" i="13"/>
  <c r="F22" i="16"/>
  <c r="G22" i="15" s="1"/>
  <c r="G25" i="13"/>
  <c r="F39" i="16"/>
  <c r="D39" i="16"/>
  <c r="D33" i="16"/>
  <c r="G16" i="17"/>
  <c r="G43" i="18"/>
  <c r="H43" i="18" s="1"/>
  <c r="H42" i="18"/>
  <c r="G68" i="13" l="1"/>
  <c r="G39" i="15"/>
  <c r="G42" i="13"/>
  <c r="E36" i="13"/>
  <c r="E33" i="15"/>
  <c r="E42" i="13"/>
  <c r="E39" i="15"/>
  <c r="G39" i="18"/>
  <c r="H39" i="18" s="1"/>
  <c r="G44" i="18"/>
  <c r="H44" i="18" s="1"/>
  <c r="C27" i="10" l="1"/>
  <c r="D27" i="10" l="1"/>
  <c r="E27" i="10" s="1"/>
  <c r="B38" i="16"/>
  <c r="C41" i="13" l="1"/>
  <c r="C38" i="15"/>
  <c r="F38" i="16"/>
  <c r="D38" i="16"/>
  <c r="E38" i="15" l="1"/>
  <c r="E41" i="13"/>
  <c r="G38" i="15"/>
  <c r="G41" i="13"/>
  <c r="B3" i="10" l="1"/>
  <c r="J11" i="14" l="1"/>
  <c r="J14" i="14" s="1"/>
  <c r="J11" i="13"/>
  <c r="J14" i="13" s="1"/>
  <c r="J15" i="13" s="1"/>
  <c r="J16" i="13" s="1"/>
  <c r="J7" i="15"/>
  <c r="H7" i="16"/>
  <c r="H9" i="16" s="1"/>
  <c r="H11" i="16" s="1"/>
  <c r="D3" i="18"/>
  <c r="D5" i="18" s="1"/>
  <c r="D7" i="18" s="1"/>
  <c r="D16" i="18" s="1"/>
  <c r="C3" i="10"/>
  <c r="C7" i="15" s="1"/>
  <c r="B5" i="10"/>
  <c r="B7" i="10" s="1"/>
  <c r="C3" i="11"/>
  <c r="C20" i="11" s="1"/>
  <c r="E15" i="14" l="1"/>
  <c r="G15" i="14"/>
  <c r="G16" i="14" s="1"/>
  <c r="J19" i="13"/>
  <c r="J20" i="13" s="1"/>
  <c r="E16" i="14"/>
  <c r="C15" i="14"/>
  <c r="C16" i="14" s="1"/>
  <c r="H12" i="16"/>
  <c r="H13" i="16" s="1"/>
  <c r="J9" i="15"/>
  <c r="J11" i="15" s="1"/>
  <c r="J12" i="15" s="1"/>
  <c r="D9" i="18"/>
  <c r="D12" i="18" s="1"/>
  <c r="D15" i="18"/>
  <c r="B7" i="16"/>
  <c r="D3" i="11"/>
  <c r="D20" i="11" s="1"/>
  <c r="D3" i="10"/>
  <c r="E7" i="15" s="1"/>
  <c r="C5" i="10"/>
  <c r="C7" i="10" s="1"/>
  <c r="D18" i="17"/>
  <c r="D19" i="17" s="1"/>
  <c r="E3" i="18"/>
  <c r="E5" i="18" s="1"/>
  <c r="E7" i="18" s="1"/>
  <c r="C11" i="13"/>
  <c r="C14" i="13" s="1"/>
  <c r="C15" i="13" s="1"/>
  <c r="C25" i="11"/>
  <c r="C26" i="11"/>
  <c r="C23" i="11"/>
  <c r="C24" i="11"/>
  <c r="G17" i="14" l="1"/>
  <c r="C19" i="14"/>
  <c r="C20" i="14" s="1"/>
  <c r="E19" i="14"/>
  <c r="E20" i="14" s="1"/>
  <c r="G19" i="14"/>
  <c r="J13" i="15"/>
  <c r="C16" i="13"/>
  <c r="C19" i="13" s="1"/>
  <c r="D17" i="18"/>
  <c r="D19" i="18" s="1"/>
  <c r="D11" i="18"/>
  <c r="H16" i="16"/>
  <c r="H17" i="16" s="1"/>
  <c r="G19" i="17"/>
  <c r="D22" i="17"/>
  <c r="G22" i="17" s="1"/>
  <c r="D21" i="17"/>
  <c r="G21" i="17" s="1"/>
  <c r="D7" i="16"/>
  <c r="E11" i="13"/>
  <c r="E14" i="13" s="1"/>
  <c r="E15" i="13" s="1"/>
  <c r="D5" i="10"/>
  <c r="D7" i="10" s="1"/>
  <c r="E18" i="17"/>
  <c r="E19" i="17" s="1"/>
  <c r="E3" i="11"/>
  <c r="E20" i="11" s="1"/>
  <c r="E3" i="10"/>
  <c r="G7" i="15" s="1"/>
  <c r="F3" i="18"/>
  <c r="F5" i="18" s="1"/>
  <c r="F7" i="18" s="1"/>
  <c r="D25" i="11"/>
  <c r="D24" i="11"/>
  <c r="D23" i="11"/>
  <c r="D26" i="11"/>
  <c r="E15" i="18"/>
  <c r="E9" i="18"/>
  <c r="E16" i="18"/>
  <c r="C28" i="11"/>
  <c r="C27" i="11"/>
  <c r="B9" i="16"/>
  <c r="B11" i="16" s="1"/>
  <c r="B12" i="16" s="1"/>
  <c r="C9" i="15"/>
  <c r="C11" i="15" s="1"/>
  <c r="D18" i="18" l="1"/>
  <c r="J16" i="15"/>
  <c r="J17" i="15" s="1"/>
  <c r="G21" i="14"/>
  <c r="C12" i="15"/>
  <c r="C13" i="15" s="1"/>
  <c r="C20" i="13"/>
  <c r="E16" i="13"/>
  <c r="E19" i="13" s="1"/>
  <c r="B13" i="16"/>
  <c r="B16" i="16" s="1"/>
  <c r="D27" i="11"/>
  <c r="D28" i="11"/>
  <c r="G11" i="13"/>
  <c r="G14" i="13" s="1"/>
  <c r="G15" i="13" s="1"/>
  <c r="F3" i="11"/>
  <c r="F20" i="11" s="1"/>
  <c r="F18" i="17"/>
  <c r="F19" i="17" s="1"/>
  <c r="G3" i="18"/>
  <c r="G5" i="18" s="1"/>
  <c r="F7" i="16"/>
  <c r="E5" i="10"/>
  <c r="E7" i="10" s="1"/>
  <c r="D9" i="16"/>
  <c r="D11" i="16" s="1"/>
  <c r="D12" i="16" s="1"/>
  <c r="E9" i="15"/>
  <c r="E11" i="15" s="1"/>
  <c r="E12" i="18"/>
  <c r="E17" i="18"/>
  <c r="E11" i="18"/>
  <c r="E26" i="11"/>
  <c r="E24" i="11"/>
  <c r="E23" i="11"/>
  <c r="E25" i="11"/>
  <c r="F16" i="18"/>
  <c r="F9" i="18"/>
  <c r="F15" i="18"/>
  <c r="E21" i="17"/>
  <c r="E22" i="17"/>
  <c r="D21" i="18"/>
  <c r="D22" i="18"/>
  <c r="C16" i="15" l="1"/>
  <c r="C17" i="15" s="1"/>
  <c r="E12" i="15"/>
  <c r="E13" i="15" s="1"/>
  <c r="E20" i="13"/>
  <c r="G16" i="13"/>
  <c r="B17" i="16"/>
  <c r="D13" i="16"/>
  <c r="D16" i="16" s="1"/>
  <c r="G9" i="15"/>
  <c r="G11" i="15" s="1"/>
  <c r="F9" i="16"/>
  <c r="F11" i="16" s="1"/>
  <c r="F12" i="16" s="1"/>
  <c r="F24" i="11"/>
  <c r="F23" i="11"/>
  <c r="F26" i="11"/>
  <c r="G20" i="11"/>
  <c r="F25" i="11"/>
  <c r="F21" i="17"/>
  <c r="F22" i="17"/>
  <c r="E28" i="11"/>
  <c r="E27" i="11"/>
  <c r="H5" i="18"/>
  <c r="G7" i="18"/>
  <c r="E19" i="18"/>
  <c r="E18" i="18"/>
  <c r="F17" i="18"/>
  <c r="F11" i="18"/>
  <c r="F12" i="18"/>
  <c r="G19" i="13" l="1"/>
  <c r="G17" i="13"/>
  <c r="E16" i="15"/>
  <c r="E17" i="15" s="1"/>
  <c r="G12" i="15"/>
  <c r="G13" i="15" s="1"/>
  <c r="G14" i="15" s="1"/>
  <c r="D17" i="16"/>
  <c r="F13" i="16"/>
  <c r="F27" i="11"/>
  <c r="F28" i="11"/>
  <c r="G28" i="11" s="1"/>
  <c r="F19" i="18"/>
  <c r="F18" i="18"/>
  <c r="E22" i="18"/>
  <c r="E21" i="18"/>
  <c r="G15" i="18"/>
  <c r="G9" i="18"/>
  <c r="H7" i="18"/>
  <c r="G16" i="18"/>
  <c r="F16" i="16" l="1"/>
  <c r="F14" i="16"/>
  <c r="G20" i="13"/>
  <c r="G21" i="13" s="1"/>
  <c r="G16" i="15"/>
  <c r="G18" i="15" s="1"/>
  <c r="F18" i="16"/>
  <c r="G12" i="18"/>
  <c r="H12" i="18" s="1"/>
  <c r="H9" i="18"/>
  <c r="G17" i="18"/>
  <c r="G11" i="18"/>
  <c r="H11" i="18" s="1"/>
  <c r="F21" i="18"/>
  <c r="F22" i="18"/>
  <c r="G19" i="18" l="1"/>
  <c r="G18" i="18"/>
  <c r="H17" i="18"/>
  <c r="G21" i="18" l="1"/>
  <c r="H21" i="18" s="1"/>
  <c r="G22" i="18"/>
  <c r="H22" i="18" s="1"/>
  <c r="H19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IT-Afdelingen</author>
  </authors>
  <commentList>
    <comment ref="B8" authorId="0" shapeId="0" xr:uid="{00000000-0006-0000-0700-000001000000}">
      <text>
        <r>
          <rPr>
            <b/>
            <sz val="4"/>
            <color indexed="81"/>
            <rFont val="Tahoma"/>
            <family val="2"/>
          </rPr>
          <t>Klik på pil og vælg ud-fra "rullegardinet".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IT-Afdelingen</author>
  </authors>
  <commentList>
    <comment ref="B8" authorId="0" shapeId="0" xr:uid="{00000000-0006-0000-0800-000001000000}">
      <text>
        <r>
          <rPr>
            <b/>
            <sz val="4"/>
            <color indexed="81"/>
            <rFont val="Tahoma"/>
            <family val="2"/>
          </rPr>
          <t>Klik på pil og vælg ud-fra "rullegardinet".</t>
        </r>
      </text>
    </comment>
  </commentList>
</comments>
</file>

<file path=xl/sharedStrings.xml><?xml version="1.0" encoding="utf-8"?>
<sst xmlns="http://schemas.openxmlformats.org/spreadsheetml/2006/main" count="137" uniqueCount="108">
  <si>
    <t>Pension:</t>
  </si>
  <si>
    <t>Feriepenge:</t>
  </si>
  <si>
    <t>Udgangs-</t>
  </si>
  <si>
    <t>1. marts</t>
  </si>
  <si>
    <t>Eget bidrag:</t>
  </si>
  <si>
    <t>Pensionsbidrag i alt:</t>
  </si>
  <si>
    <t>Arbejdsgivers bidrag:</t>
  </si>
  <si>
    <t>Om-</t>
  </si>
  <si>
    <t>fang</t>
  </si>
  <si>
    <t>Stig-</t>
  </si>
  <si>
    <t>ning</t>
  </si>
  <si>
    <t>Samlet vægtet timeløn:</t>
  </si>
  <si>
    <t>Feriefridagsbetaling:</t>
  </si>
  <si>
    <t>Søgnehelligdagsbetaling:</t>
  </si>
  <si>
    <t>Pensionsberettiget timeløn:</t>
  </si>
  <si>
    <t>Arbejdsgivers pensionsbidrag:</t>
  </si>
  <si>
    <t>Overenskomst/arbejdsfunktion</t>
  </si>
  <si>
    <t>Gældende fra begyndelsen af den lønningsuge hvori 1. marts indgår.</t>
  </si>
  <si>
    <t>Vælg udfra følgende muligheder:</t>
  </si>
  <si>
    <t>Anciennitet</t>
  </si>
  <si>
    <t>Lønmodtagers bidrag:</t>
  </si>
  <si>
    <t xml:space="preserve">I alt </t>
  </si>
  <si>
    <t>I alt:</t>
  </si>
  <si>
    <t>Kontoen:</t>
  </si>
  <si>
    <t>(0,5% + 0,25% + 0,25%)</t>
  </si>
  <si>
    <t>I alt incl. kontoen:</t>
  </si>
  <si>
    <t>Fridagsbetaling:</t>
  </si>
  <si>
    <t>Stigning i arbejdsgivers pensionsbidrag:</t>
  </si>
  <si>
    <t>Samlet timeløn incl. ferie og pension:</t>
  </si>
  <si>
    <t>1. juli 08</t>
  </si>
  <si>
    <t>1. juli 09</t>
  </si>
  <si>
    <t>punkt</t>
  </si>
  <si>
    <t>Timelønsstigninger med reel gennemslag</t>
  </si>
  <si>
    <t>for alle vaskeriarbejdere</t>
  </si>
  <si>
    <t>Lønsstigninger med reel</t>
  </si>
  <si>
    <t>Stigning</t>
  </si>
  <si>
    <t>gennemslag for alle</t>
  </si>
  <si>
    <t>I alt</t>
  </si>
  <si>
    <t>Ugentlig stigning excl. ferie og pension:</t>
  </si>
  <si>
    <t>Månedlig stigning excl. ferie og pension:</t>
  </si>
  <si>
    <t>Ugentlig stigning incl. ferie og pension:</t>
  </si>
  <si>
    <t>Månedlig stigning incl. ferie og pension:</t>
  </si>
  <si>
    <t>1. juli 07</t>
  </si>
  <si>
    <t>Anciennitetstillæg efter 12 måneder:</t>
  </si>
  <si>
    <t>Månedsløn excl. ferie og pension:</t>
  </si>
  <si>
    <t>Ugeløn excl. ferie og pension:</t>
  </si>
  <si>
    <t>Samlet månedsløn incl. ferie og pension:</t>
  </si>
  <si>
    <t>Samlet ugeløn incl. ferie og pension:</t>
  </si>
  <si>
    <t>Lønoversigt for vaskeriarbejdere</t>
  </si>
  <si>
    <t>Vaskeriarbejdere</t>
  </si>
  <si>
    <t>Lønninger for vaskeriarbejdere</t>
  </si>
  <si>
    <t>Lønstigninger for vaskeriarbejdere</t>
  </si>
  <si>
    <t>Vaskerioverenskomst mellem DIO II (ADV) og 3F</t>
  </si>
  <si>
    <t>Timeløn for voksne</t>
  </si>
  <si>
    <t>Garantibetaling for voksne</t>
  </si>
  <si>
    <t>Timeløn for unge under 18 år</t>
  </si>
  <si>
    <t>Vaskeritillæg</t>
  </si>
  <si>
    <t>Kursustillæg</t>
  </si>
  <si>
    <t>Mentortillæg</t>
  </si>
  <si>
    <t>Regulering af genetillæg</t>
  </si>
  <si>
    <t>2. til 4. time efter normalarbejdstid</t>
  </si>
  <si>
    <t>Arbejde på tilsikret hel hverdagsfridag</t>
  </si>
  <si>
    <t>Timer mellem kl. 06.00 til kl. 19.00</t>
  </si>
  <si>
    <t>Timer mellem kl. 19.00 til kl. 06.00</t>
  </si>
  <si>
    <t>Arbejde på søn- og helligdage</t>
  </si>
  <si>
    <t>Forskudttidstillæg</t>
  </si>
  <si>
    <t>Kl. 19.00 til kl. 22.00</t>
  </si>
  <si>
    <t>Varslingstilllæg</t>
  </si>
  <si>
    <t>Smudstillæg</t>
  </si>
  <si>
    <t>Fratrædelsesgodtgørelse</t>
  </si>
  <si>
    <t>Efter 3 års ansættelse</t>
  </si>
  <si>
    <t>Efter 6 års ansættelse</t>
  </si>
  <si>
    <t>Efter 8 års ansættelse</t>
  </si>
  <si>
    <t>Frihedskonto</t>
  </si>
  <si>
    <t>Særlig opsparing</t>
  </si>
  <si>
    <t>Pension</t>
  </si>
  <si>
    <t>Pensionsbidrag i alt</t>
  </si>
  <si>
    <t>1. time efter normalarbejdstid og ved arbejde før normal arbejdstid i tidsrummet kl. 06.00-19.00</t>
  </si>
  <si>
    <t>5. time efter normalarbejdstid og derefter og søn- og helligdage efter kl. 12.00 og ved arbejde før normal arbejdstid i tidsrummet kl. 06.00-19.00</t>
  </si>
  <si>
    <t>Fra daglig normal hverdagsarbejdstid til kl 12.00</t>
  </si>
  <si>
    <t>Fra kl. 12.00 til normal hverdagsarbejdstids begyndelse</t>
  </si>
  <si>
    <t>Om morgenen forud for normal hverdagsarbejdstids begyndelse</t>
  </si>
  <si>
    <t>Anciennitetstillæg efter 12 måneder</t>
  </si>
  <si>
    <t>Overarbejdstillæg</t>
  </si>
  <si>
    <t>Beregnes af ferieberettiget løn</t>
  </si>
  <si>
    <t>Timeløn i alt</t>
  </si>
  <si>
    <t>0. Under 12 måneders ansættelse</t>
  </si>
  <si>
    <t>1. Efter 12 måneders ansættelse</t>
  </si>
  <si>
    <t>Timeløn i alt efter 12 måneder</t>
  </si>
  <si>
    <t>I alt inkl. særlig opsparing</t>
  </si>
  <si>
    <t>Arbejdsgivers pensionsbidrag</t>
  </si>
  <si>
    <t>I alt inkl. særlig opsparing og pension</t>
  </si>
  <si>
    <t>Samlet stigning pr. time 2020-2023</t>
  </si>
  <si>
    <t>Særlig opsparing i beløb</t>
  </si>
  <si>
    <t>Lønmodtagers pensionsbidrag</t>
  </si>
  <si>
    <t>1. marts 2020</t>
  </si>
  <si>
    <t>1. marts 2021</t>
  </si>
  <si>
    <t>1. marts 2022</t>
  </si>
  <si>
    <t>29. feb. 2020</t>
  </si>
  <si>
    <t>29.2.2020</t>
  </si>
  <si>
    <t>1. marts 2020 til 28. februar 2023</t>
  </si>
  <si>
    <t>Kl. 22.00 til kl. 06.00</t>
  </si>
  <si>
    <t>(påbegyndt inden kl. 24.00)</t>
  </si>
  <si>
    <t>(påbegyndt efter kl. 24.00)</t>
  </si>
  <si>
    <t>Kl. 24.00 til kl. 06.00</t>
  </si>
  <si>
    <t>1. mar. 2020</t>
  </si>
  <si>
    <t>1. mar. 2021</t>
  </si>
  <si>
    <t>1. mar.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</si>
</sst>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.&quot;\ * #,##0.00_ ;_ &quot;kr.&quot;\ * \-#,##0.00_ ;_ &quot;kr.&quot;\ * &quot;-&quot;??_ ;_ @_ "/>
    <numFmt numFmtId="165" formatCode="_(&quot;kr&quot;\ * #,##0.00_);_(&quot;kr&quot;\ * \(#,##0.00\);_(&quot;kr&quot;\ * &quot;-&quot;??_);_(@_)"/>
    <numFmt numFmtId="166" formatCode="0.0%"/>
  </numFmts>
  <fonts count="1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4"/>
      <color indexed="81"/>
      <name val="Tahoma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CCFF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61">
    <xf numFmtId="0" fontId="0" fillId="0" borderId="0" xfId="0"/>
    <xf numFmtId="0" fontId="2" fillId="0" borderId="0" xfId="0" applyFont="1"/>
    <xf numFmtId="10" fontId="2" fillId="0" borderId="0" xfId="0" applyNumberFormat="1" applyFont="1"/>
    <xf numFmtId="10" fontId="2" fillId="0" borderId="1" xfId="0" applyNumberFormat="1" applyFont="1" applyBorder="1"/>
    <xf numFmtId="0" fontId="2" fillId="0" borderId="2" xfId="0" applyFont="1" applyBorder="1" applyAlignment="1"/>
    <xf numFmtId="0" fontId="2" fillId="0" borderId="1" xfId="0" applyFont="1" applyBorder="1"/>
    <xf numFmtId="2" fontId="2" fillId="0" borderId="3" xfId="0" applyNumberFormat="1" applyFont="1" applyBorder="1"/>
    <xf numFmtId="2" fontId="2" fillId="0" borderId="4" xfId="0" applyNumberFormat="1" applyFont="1" applyBorder="1"/>
    <xf numFmtId="0" fontId="3" fillId="0" borderId="5" xfId="0" applyFont="1" applyBorder="1"/>
    <xf numFmtId="0" fontId="2" fillId="0" borderId="2" xfId="0" applyFont="1" applyBorder="1" applyAlignment="1">
      <alignment horizontal="left" indent="1"/>
    </xf>
    <xf numFmtId="2" fontId="2" fillId="0" borderId="6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0" fontId="3" fillId="0" borderId="5" xfId="0" applyFont="1" applyBorder="1" applyAlignment="1"/>
    <xf numFmtId="2" fontId="2" fillId="0" borderId="9" xfId="0" applyNumberFormat="1" applyFont="1" applyBorder="1"/>
    <xf numFmtId="2" fontId="2" fillId="0" borderId="10" xfId="0" applyNumberFormat="1" applyFont="1" applyBorder="1"/>
    <xf numFmtId="0" fontId="2" fillId="0" borderId="11" xfId="0" applyFont="1" applyBorder="1"/>
    <xf numFmtId="9" fontId="2" fillId="0" borderId="12" xfId="0" applyNumberFormat="1" applyFont="1" applyBorder="1" applyAlignment="1">
      <alignment horizontal="right"/>
    </xf>
    <xf numFmtId="9" fontId="2" fillId="0" borderId="13" xfId="0" applyNumberFormat="1" applyFont="1" applyBorder="1" applyAlignment="1">
      <alignment horizontal="right"/>
    </xf>
    <xf numFmtId="2" fontId="2" fillId="0" borderId="12" xfId="0" applyNumberFormat="1" applyFont="1" applyBorder="1"/>
    <xf numFmtId="0" fontId="2" fillId="0" borderId="14" xfId="0" applyFont="1" applyBorder="1" applyAlignment="1">
      <alignment horizontal="left" indent="1"/>
    </xf>
    <xf numFmtId="2" fontId="2" fillId="0" borderId="15" xfId="0" applyNumberFormat="1" applyFont="1" applyBorder="1"/>
    <xf numFmtId="0" fontId="3" fillId="0" borderId="17" xfId="0" applyFont="1" applyBorder="1"/>
    <xf numFmtId="2" fontId="2" fillId="0" borderId="18" xfId="0" applyNumberFormat="1" applyFont="1" applyBorder="1"/>
    <xf numFmtId="0" fontId="3" fillId="0" borderId="19" xfId="0" applyFont="1" applyBorder="1"/>
    <xf numFmtId="2" fontId="2" fillId="0" borderId="20" xfId="0" applyNumberFormat="1" applyFont="1" applyBorder="1"/>
    <xf numFmtId="2" fontId="2" fillId="0" borderId="21" xfId="0" applyNumberFormat="1" applyFont="1" applyBorder="1"/>
    <xf numFmtId="2" fontId="2" fillId="0" borderId="22" xfId="0" applyNumberFormat="1" applyFont="1" applyBorder="1"/>
    <xf numFmtId="2" fontId="2" fillId="0" borderId="23" xfId="0" applyNumberFormat="1" applyFont="1" applyBorder="1"/>
    <xf numFmtId="2" fontId="2" fillId="0" borderId="24" xfId="0" applyNumberFormat="1" applyFont="1" applyBorder="1"/>
    <xf numFmtId="2" fontId="2" fillId="0" borderId="25" xfId="0" applyNumberFormat="1" applyFont="1" applyBorder="1"/>
    <xf numFmtId="2" fontId="2" fillId="0" borderId="26" xfId="0" applyNumberFormat="1" applyFont="1" applyBorder="1"/>
    <xf numFmtId="166" fontId="2" fillId="0" borderId="25" xfId="0" applyNumberFormat="1" applyFont="1" applyBorder="1"/>
    <xf numFmtId="2" fontId="2" fillId="0" borderId="27" xfId="0" applyNumberFormat="1" applyFont="1" applyBorder="1"/>
    <xf numFmtId="9" fontId="2" fillId="0" borderId="0" xfId="0" applyNumberFormat="1" applyFont="1"/>
    <xf numFmtId="0" fontId="2" fillId="0" borderId="16" xfId="0" applyFont="1" applyBorder="1" applyAlignment="1">
      <alignment horizontal="left" indent="1"/>
    </xf>
    <xf numFmtId="2" fontId="2" fillId="0" borderId="28" xfId="0" applyNumberFormat="1" applyFont="1" applyBorder="1"/>
    <xf numFmtId="2" fontId="2" fillId="0" borderId="0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2" fontId="2" fillId="0" borderId="31" xfId="0" applyNumberFormat="1" applyFont="1" applyBorder="1"/>
    <xf numFmtId="0" fontId="3" fillId="0" borderId="32" xfId="0" applyFont="1" applyBorder="1" applyAlignment="1"/>
    <xf numFmtId="2" fontId="2" fillId="0" borderId="33" xfId="0" applyNumberFormat="1" applyFont="1" applyBorder="1"/>
    <xf numFmtId="2" fontId="2" fillId="0" borderId="34" xfId="0" applyNumberFormat="1" applyFont="1" applyBorder="1"/>
    <xf numFmtId="2" fontId="2" fillId="0" borderId="35" xfId="0" applyNumberFormat="1" applyFont="1" applyBorder="1"/>
    <xf numFmtId="2" fontId="2" fillId="0" borderId="36" xfId="0" applyNumberFormat="1" applyFont="1" applyBorder="1"/>
    <xf numFmtId="4" fontId="2" fillId="0" borderId="26" xfId="0" applyNumberFormat="1" applyFont="1" applyBorder="1"/>
    <xf numFmtId="4" fontId="2" fillId="0" borderId="7" xfId="0" applyNumberFormat="1" applyFont="1" applyBorder="1"/>
    <xf numFmtId="4" fontId="2" fillId="0" borderId="27" xfId="0" applyNumberFormat="1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9" fontId="2" fillId="0" borderId="0" xfId="0" applyNumberFormat="1" applyFont="1" applyBorder="1"/>
    <xf numFmtId="166" fontId="2" fillId="0" borderId="0" xfId="0" applyNumberFormat="1" applyFont="1" applyBorder="1"/>
    <xf numFmtId="2" fontId="2" fillId="0" borderId="1" xfId="0" applyNumberFormat="1" applyFont="1" applyBorder="1"/>
    <xf numFmtId="0" fontId="3" fillId="0" borderId="38" xfId="0" applyFont="1" applyBorder="1" applyAlignment="1"/>
    <xf numFmtId="0" fontId="3" fillId="0" borderId="32" xfId="0" applyFont="1" applyBorder="1"/>
    <xf numFmtId="0" fontId="3" fillId="0" borderId="39" xfId="0" applyFont="1" applyBorder="1"/>
    <xf numFmtId="0" fontId="2" fillId="0" borderId="40" xfId="0" applyFont="1" applyBorder="1" applyAlignment="1">
      <alignment horizontal="left" indent="1"/>
    </xf>
    <xf numFmtId="0" fontId="3" fillId="0" borderId="38" xfId="0" applyFont="1" applyBorder="1"/>
    <xf numFmtId="0" fontId="2" fillId="0" borderId="41" xfId="0" applyFont="1" applyBorder="1"/>
    <xf numFmtId="2" fontId="2" fillId="0" borderId="41" xfId="0" applyNumberFormat="1" applyFont="1" applyBorder="1"/>
    <xf numFmtId="2" fontId="2" fillId="0" borderId="42" xfId="0" applyNumberFormat="1" applyFont="1" applyBorder="1"/>
    <xf numFmtId="0" fontId="2" fillId="0" borderId="28" xfId="0" applyFont="1" applyBorder="1"/>
    <xf numFmtId="0" fontId="2" fillId="0" borderId="43" xfId="0" applyFont="1" applyBorder="1"/>
    <xf numFmtId="2" fontId="2" fillId="0" borderId="44" xfId="0" applyNumberFormat="1" applyFont="1" applyBorder="1"/>
    <xf numFmtId="2" fontId="2" fillId="0" borderId="45" xfId="0" applyNumberFormat="1" applyFont="1" applyBorder="1"/>
    <xf numFmtId="2" fontId="2" fillId="0" borderId="46" xfId="0" applyNumberFormat="1" applyFont="1" applyBorder="1"/>
    <xf numFmtId="0" fontId="2" fillId="0" borderId="38" xfId="0" applyFont="1" applyBorder="1" applyAlignment="1">
      <alignment horizontal="left" indent="1"/>
    </xf>
    <xf numFmtId="0" fontId="2" fillId="0" borderId="38" xfId="0" applyFont="1" applyBorder="1"/>
    <xf numFmtId="0" fontId="3" fillId="0" borderId="17" xfId="0" applyFont="1" applyBorder="1" applyAlignment="1"/>
    <xf numFmtId="0" fontId="2" fillId="0" borderId="5" xfId="0" applyFont="1" applyBorder="1" applyAlignment="1">
      <alignment horizontal="left" indent="1"/>
    </xf>
    <xf numFmtId="2" fontId="2" fillId="0" borderId="13" xfId="0" applyNumberFormat="1" applyFont="1" applyBorder="1"/>
    <xf numFmtId="0" fontId="3" fillId="0" borderId="16" xfId="0" applyFont="1" applyBorder="1" applyAlignment="1"/>
    <xf numFmtId="0" fontId="3" fillId="0" borderId="39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166" fontId="2" fillId="0" borderId="31" xfId="0" applyNumberFormat="1" applyFont="1" applyBorder="1"/>
    <xf numFmtId="166" fontId="2" fillId="0" borderId="33" xfId="0" applyNumberFormat="1" applyFont="1" applyBorder="1"/>
    <xf numFmtId="166" fontId="2" fillId="0" borderId="34" xfId="0" applyNumberFormat="1" applyFont="1" applyBorder="1"/>
    <xf numFmtId="166" fontId="2" fillId="0" borderId="24" xfId="0" applyNumberFormat="1" applyFont="1" applyBorder="1"/>
    <xf numFmtId="166" fontId="2" fillId="0" borderId="15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9" xfId="0" applyNumberFormat="1" applyFont="1" applyBorder="1"/>
    <xf numFmtId="166" fontId="2" fillId="0" borderId="10" xfId="0" applyNumberFormat="1" applyFont="1" applyBorder="1"/>
    <xf numFmtId="166" fontId="2" fillId="0" borderId="18" xfId="0" applyNumberFormat="1" applyFont="1" applyBorder="1"/>
    <xf numFmtId="0" fontId="2" fillId="0" borderId="19" xfId="0" applyFont="1" applyBorder="1" applyAlignment="1">
      <alignment horizontal="left" indent="1"/>
    </xf>
    <xf numFmtId="4" fontId="2" fillId="0" borderId="34" xfId="0" applyNumberFormat="1" applyFont="1" applyBorder="1"/>
    <xf numFmtId="4" fontId="2" fillId="0" borderId="30" xfId="0" applyNumberFormat="1" applyFont="1" applyBorder="1"/>
    <xf numFmtId="4" fontId="2" fillId="0" borderId="31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0" fontId="3" fillId="0" borderId="0" xfId="0" applyFont="1" applyBorder="1"/>
    <xf numFmtId="9" fontId="3" fillId="0" borderId="11" xfId="0" applyNumberFormat="1" applyFont="1" applyBorder="1" applyAlignment="1">
      <alignment horizontal="center"/>
    </xf>
    <xf numFmtId="9" fontId="3" fillId="0" borderId="39" xfId="0" applyNumberFormat="1" applyFont="1" applyBorder="1" applyAlignment="1">
      <alignment horizontal="center"/>
    </xf>
    <xf numFmtId="9" fontId="2" fillId="0" borderId="19" xfId="0" applyNumberFormat="1" applyFont="1" applyBorder="1" applyAlignment="1">
      <alignment horizontal="right"/>
    </xf>
    <xf numFmtId="9" fontId="3" fillId="0" borderId="41" xfId="0" applyNumberFormat="1" applyFont="1" applyBorder="1" applyAlignment="1">
      <alignment horizontal="right"/>
    </xf>
    <xf numFmtId="9" fontId="3" fillId="0" borderId="28" xfId="0" applyNumberFormat="1" applyFont="1" applyBorder="1" applyAlignment="1">
      <alignment horizontal="right"/>
    </xf>
    <xf numFmtId="9" fontId="2" fillId="0" borderId="40" xfId="0" applyNumberFormat="1" applyFont="1" applyBorder="1" applyAlignment="1">
      <alignment horizontal="right"/>
    </xf>
    <xf numFmtId="9" fontId="2" fillId="0" borderId="2" xfId="0" applyNumberFormat="1" applyFont="1" applyBorder="1" applyAlignment="1">
      <alignment horizontal="right"/>
    </xf>
    <xf numFmtId="9" fontId="2" fillId="0" borderId="14" xfId="0" applyNumberFormat="1" applyFont="1" applyBorder="1" applyAlignment="1">
      <alignment horizontal="right"/>
    </xf>
    <xf numFmtId="9" fontId="2" fillId="0" borderId="41" xfId="0" applyNumberFormat="1" applyFont="1" applyBorder="1" applyAlignment="1">
      <alignment horizontal="right"/>
    </xf>
    <xf numFmtId="9" fontId="2" fillId="0" borderId="16" xfId="0" applyNumberFormat="1" applyFont="1" applyBorder="1" applyAlignment="1">
      <alignment horizontal="right"/>
    </xf>
    <xf numFmtId="9" fontId="2" fillId="0" borderId="5" xfId="0" applyNumberFormat="1" applyFont="1" applyBorder="1" applyAlignment="1">
      <alignment horizontal="right"/>
    </xf>
    <xf numFmtId="9" fontId="2" fillId="0" borderId="0" xfId="0" applyNumberFormat="1" applyFont="1" applyBorder="1" applyAlignment="1">
      <alignment horizontal="right"/>
    </xf>
    <xf numFmtId="4" fontId="2" fillId="0" borderId="36" xfId="0" applyNumberFormat="1" applyFont="1" applyBorder="1"/>
    <xf numFmtId="4" fontId="2" fillId="0" borderId="10" xfId="0" applyNumberFormat="1" applyFont="1" applyBorder="1"/>
    <xf numFmtId="4" fontId="2" fillId="0" borderId="18" xfId="0" applyNumberFormat="1" applyFont="1" applyBorder="1"/>
    <xf numFmtId="10" fontId="2" fillId="0" borderId="25" xfId="0" applyNumberFormat="1" applyFont="1" applyBorder="1" applyAlignment="1">
      <alignment horizontal="right"/>
    </xf>
    <xf numFmtId="10" fontId="2" fillId="0" borderId="0" xfId="0" applyNumberFormat="1" applyFont="1" applyBorder="1"/>
    <xf numFmtId="10" fontId="2" fillId="0" borderId="19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6" fontId="2" fillId="0" borderId="14" xfId="0" applyNumberFormat="1" applyFont="1" applyBorder="1" applyAlignment="1">
      <alignment horizontal="right"/>
    </xf>
    <xf numFmtId="0" fontId="3" fillId="0" borderId="36" xfId="0" applyFont="1" applyBorder="1" applyAlignment="1"/>
    <xf numFmtId="9" fontId="2" fillId="0" borderId="54" xfId="0" applyNumberFormat="1" applyFont="1" applyBorder="1" applyAlignment="1">
      <alignment horizontal="right"/>
    </xf>
    <xf numFmtId="9" fontId="2" fillId="0" borderId="55" xfId="0" applyNumberFormat="1" applyFont="1" applyBorder="1" applyAlignment="1">
      <alignment horizontal="right"/>
    </xf>
    <xf numFmtId="9" fontId="2" fillId="0" borderId="28" xfId="0" applyNumberFormat="1" applyFont="1" applyBorder="1" applyAlignment="1">
      <alignment horizontal="right"/>
    </xf>
    <xf numFmtId="2" fontId="2" fillId="0" borderId="43" xfId="0" applyNumberFormat="1" applyFont="1" applyBorder="1"/>
    <xf numFmtId="10" fontId="3" fillId="0" borderId="1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center"/>
    </xf>
    <xf numFmtId="0" fontId="2" fillId="0" borderId="19" xfId="0" applyFont="1" applyBorder="1" applyAlignment="1"/>
    <xf numFmtId="0" fontId="2" fillId="0" borderId="14" xfId="0" applyFont="1" applyBorder="1" applyAlignment="1"/>
    <xf numFmtId="0" fontId="2" fillId="0" borderId="56" xfId="0" applyFont="1" applyBorder="1" applyAlignment="1"/>
    <xf numFmtId="0" fontId="3" fillId="0" borderId="3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0" xfId="0" applyProtection="1"/>
    <xf numFmtId="0" fontId="4" fillId="0" borderId="25" xfId="0" applyFont="1" applyBorder="1" applyProtection="1"/>
    <xf numFmtId="0" fontId="0" fillId="0" borderId="0" xfId="0" applyBorder="1" applyProtection="1"/>
    <xf numFmtId="0" fontId="4" fillId="0" borderId="36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2" fontId="0" fillId="0" borderId="0" xfId="0" applyNumberFormat="1" applyProtection="1"/>
    <xf numFmtId="0" fontId="0" fillId="0" borderId="34" xfId="0" applyBorder="1" applyProtection="1"/>
    <xf numFmtId="0" fontId="0" fillId="0" borderId="26" xfId="0" applyBorder="1" applyProtection="1"/>
    <xf numFmtId="2" fontId="0" fillId="0" borderId="60" xfId="0" applyNumberFormat="1" applyBorder="1" applyProtection="1"/>
    <xf numFmtId="2" fontId="0" fillId="0" borderId="7" xfId="0" applyNumberFormat="1" applyBorder="1" applyProtection="1"/>
    <xf numFmtId="2" fontId="0" fillId="0" borderId="27" xfId="0" applyNumberFormat="1" applyBorder="1" applyProtection="1"/>
    <xf numFmtId="0" fontId="0" fillId="0" borderId="0" xfId="0" applyAlignment="1" applyProtection="1">
      <alignment horizontal="left" indent="1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25" xfId="0" applyFont="1" applyBorder="1" applyAlignment="1"/>
    <xf numFmtId="2" fontId="3" fillId="0" borderId="0" xfId="0" applyNumberFormat="1" applyFont="1" applyBorder="1"/>
    <xf numFmtId="166" fontId="3" fillId="0" borderId="0" xfId="0" applyNumberFormat="1" applyFont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 indent="1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/>
    <xf numFmtId="0" fontId="3" fillId="2" borderId="0" xfId="0" applyFont="1" applyFill="1" applyBorder="1" applyAlignment="1"/>
    <xf numFmtId="2" fontId="3" fillId="2" borderId="0" xfId="0" applyNumberFormat="1" applyFont="1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 applyProtection="1"/>
    <xf numFmtId="0" fontId="0" fillId="2" borderId="0" xfId="0" applyFill="1" applyBorder="1" applyProtection="1"/>
    <xf numFmtId="0" fontId="6" fillId="2" borderId="0" xfId="0" applyFont="1" applyFill="1" applyBorder="1" applyProtection="1"/>
    <xf numFmtId="0" fontId="0" fillId="2" borderId="0" xfId="0" applyFill="1" applyBorder="1" applyAlignment="1" applyProtection="1"/>
    <xf numFmtId="0" fontId="5" fillId="3" borderId="0" xfId="0" applyFont="1" applyFill="1" applyBorder="1" applyAlignment="1" applyProtection="1"/>
    <xf numFmtId="0" fontId="5" fillId="5" borderId="0" xfId="0" applyNumberFormat="1" applyFont="1" applyFill="1" applyBorder="1" applyAlignment="1" applyProtection="1">
      <protection locked="0"/>
    </xf>
    <xf numFmtId="0" fontId="5" fillId="6" borderId="0" xfId="0" applyFont="1" applyFill="1" applyBorder="1" applyAlignment="1" applyProtection="1">
      <protection locked="0"/>
    </xf>
    <xf numFmtId="0" fontId="0" fillId="0" borderId="25" xfId="0" applyBorder="1" applyProtection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/>
    <xf numFmtId="10" fontId="2" fillId="0" borderId="0" xfId="0" applyNumberFormat="1" applyFont="1" applyFill="1" applyBorder="1"/>
    <xf numFmtId="10" fontId="3" fillId="0" borderId="0" xfId="0" applyNumberFormat="1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0" fontId="3" fillId="0" borderId="63" xfId="0" applyNumberFormat="1" applyFont="1" applyFill="1" applyBorder="1"/>
    <xf numFmtId="0" fontId="5" fillId="0" borderId="0" xfId="0" applyFont="1" applyFill="1" applyBorder="1"/>
    <xf numFmtId="0" fontId="9" fillId="0" borderId="61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0" fillId="0" borderId="11" xfId="0" applyBorder="1"/>
    <xf numFmtId="0" fontId="9" fillId="0" borderId="62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2" fillId="0" borderId="19" xfId="0" applyFont="1" applyBorder="1"/>
    <xf numFmtId="10" fontId="2" fillId="0" borderId="64" xfId="0" applyNumberFormat="1" applyFont="1" applyBorder="1"/>
    <xf numFmtId="0" fontId="2" fillId="0" borderId="64" xfId="0" applyFont="1" applyBorder="1"/>
    <xf numFmtId="2" fontId="2" fillId="0" borderId="65" xfId="0" applyNumberFormat="1" applyFont="1" applyBorder="1"/>
    <xf numFmtId="0" fontId="2" fillId="0" borderId="2" xfId="0" applyFont="1" applyBorder="1"/>
    <xf numFmtId="10" fontId="2" fillId="0" borderId="66" xfId="0" applyNumberFormat="1" applyFont="1" applyBorder="1"/>
    <xf numFmtId="0" fontId="2" fillId="0" borderId="66" xfId="0" applyFont="1" applyBorder="1"/>
    <xf numFmtId="0" fontId="2" fillId="0" borderId="32" xfId="0" applyFont="1" applyBorder="1"/>
    <xf numFmtId="10" fontId="2" fillId="0" borderId="67" xfId="0" applyNumberFormat="1" applyFont="1" applyBorder="1"/>
    <xf numFmtId="0" fontId="2" fillId="0" borderId="67" xfId="0" applyFont="1" applyBorder="1"/>
    <xf numFmtId="2" fontId="2" fillId="0" borderId="60" xfId="0" applyNumberFormat="1" applyFont="1" applyBorder="1"/>
    <xf numFmtId="0" fontId="3" fillId="0" borderId="14" xfId="0" applyFont="1" applyBorder="1"/>
    <xf numFmtId="10" fontId="2" fillId="0" borderId="68" xfId="0" applyNumberFormat="1" applyFont="1" applyBorder="1"/>
    <xf numFmtId="0" fontId="2" fillId="0" borderId="68" xfId="0" applyFont="1" applyBorder="1"/>
    <xf numFmtId="0" fontId="2" fillId="0" borderId="32" xfId="0" applyFont="1" applyBorder="1" applyAlignment="1"/>
    <xf numFmtId="4" fontId="2" fillId="0" borderId="60" xfId="0" applyNumberFormat="1" applyFont="1" applyBorder="1"/>
    <xf numFmtId="10" fontId="2" fillId="0" borderId="30" xfId="0" applyNumberFormat="1" applyFont="1" applyBorder="1" applyAlignment="1">
      <alignment horizontal="right"/>
    </xf>
    <xf numFmtId="4" fontId="2" fillId="0" borderId="53" xfId="0" applyNumberFormat="1" applyFont="1" applyBorder="1"/>
    <xf numFmtId="4" fontId="2" fillId="0" borderId="65" xfId="0" applyNumberFormat="1" applyFont="1" applyBorder="1"/>
    <xf numFmtId="10" fontId="2" fillId="0" borderId="7" xfId="0" applyNumberFormat="1" applyFont="1" applyBorder="1" applyAlignment="1">
      <alignment horizontal="right"/>
    </xf>
    <xf numFmtId="4" fontId="2" fillId="0" borderId="69" xfId="0" applyNumberFormat="1" applyFont="1" applyBorder="1"/>
    <xf numFmtId="10" fontId="2" fillId="0" borderId="64" xfId="0" applyNumberFormat="1" applyFont="1" applyBorder="1" applyAlignment="1">
      <alignment horizontal="left" indent="1"/>
    </xf>
    <xf numFmtId="4" fontId="2" fillId="0" borderId="25" xfId="0" applyNumberFormat="1" applyFont="1" applyBorder="1"/>
    <xf numFmtId="10" fontId="2" fillId="0" borderId="66" xfId="0" applyNumberFormat="1" applyFont="1" applyBorder="1" applyAlignment="1">
      <alignment horizontal="left" indent="1"/>
    </xf>
    <xf numFmtId="4" fontId="2" fillId="0" borderId="70" xfId="0" applyNumberFormat="1" applyFont="1" applyBorder="1"/>
    <xf numFmtId="4" fontId="2" fillId="0" borderId="59" xfId="0" applyNumberFormat="1" applyFont="1" applyBorder="1"/>
    <xf numFmtId="10" fontId="2" fillId="0" borderId="67" xfId="0" applyNumberFormat="1" applyFont="1" applyBorder="1" applyAlignment="1">
      <alignment horizontal="left" indent="1"/>
    </xf>
    <xf numFmtId="10" fontId="2" fillId="0" borderId="28" xfId="0" applyNumberFormat="1" applyFont="1" applyBorder="1" applyAlignment="1">
      <alignment horizontal="left" indent="1"/>
    </xf>
    <xf numFmtId="4" fontId="2" fillId="0" borderId="43" xfId="0" applyNumberFormat="1" applyFont="1" applyBorder="1"/>
    <xf numFmtId="4" fontId="2" fillId="0" borderId="47" xfId="0" applyNumberFormat="1" applyFont="1" applyBorder="1"/>
    <xf numFmtId="0" fontId="3" fillId="0" borderId="0" xfId="0" applyFont="1" applyBorder="1" applyAlignment="1"/>
    <xf numFmtId="10" fontId="2" fillId="0" borderId="0" xfId="0" applyNumberFormat="1" applyFont="1" applyBorder="1" applyAlignment="1">
      <alignment horizontal="left" indent="1"/>
    </xf>
    <xf numFmtId="4" fontId="2" fillId="0" borderId="0" xfId="0" applyNumberFormat="1" applyFont="1" applyBorder="1"/>
    <xf numFmtId="0" fontId="2" fillId="0" borderId="12" xfId="0" applyFont="1" applyBorder="1"/>
    <xf numFmtId="10" fontId="2" fillId="0" borderId="12" xfId="0" applyNumberFormat="1" applyFont="1" applyBorder="1" applyAlignment="1">
      <alignment horizontal="left" indent="1"/>
    </xf>
    <xf numFmtId="4" fontId="2" fillId="0" borderId="54" xfId="0" applyNumberFormat="1" applyFont="1" applyBorder="1"/>
    <xf numFmtId="0" fontId="0" fillId="0" borderId="0" xfId="0" applyBorder="1"/>
    <xf numFmtId="2" fontId="2" fillId="0" borderId="71" xfId="0" applyNumberFormat="1" applyFont="1" applyBorder="1"/>
    <xf numFmtId="2" fontId="2" fillId="0" borderId="72" xfId="0" applyNumberFormat="1" applyFont="1" applyBorder="1"/>
    <xf numFmtId="2" fontId="2" fillId="0" borderId="73" xfId="0" applyNumberFormat="1" applyFont="1" applyBorder="1"/>
    <xf numFmtId="0" fontId="0" fillId="0" borderId="13" xfId="0" applyBorder="1"/>
    <xf numFmtId="0" fontId="0" fillId="0" borderId="12" xfId="0" applyBorder="1"/>
    <xf numFmtId="166" fontId="2" fillId="0" borderId="58" xfId="0" applyNumberFormat="1" applyFont="1" applyBorder="1"/>
    <xf numFmtId="166" fontId="2" fillId="0" borderId="37" xfId="0" applyNumberFormat="1" applyFont="1" applyBorder="1"/>
    <xf numFmtId="166" fontId="2" fillId="0" borderId="64" xfId="0" applyNumberFormat="1" applyFont="1" applyBorder="1"/>
    <xf numFmtId="0" fontId="0" fillId="0" borderId="53" xfId="0" applyBorder="1"/>
    <xf numFmtId="0" fontId="0" fillId="0" borderId="70" xfId="0" applyBorder="1"/>
    <xf numFmtId="0" fontId="0" fillId="0" borderId="69" xfId="0" applyBorder="1"/>
    <xf numFmtId="166" fontId="2" fillId="0" borderId="74" xfId="0" applyNumberFormat="1" applyFont="1" applyBorder="1"/>
    <xf numFmtId="166" fontId="2" fillId="0" borderId="68" xfId="0" applyNumberFormat="1" applyFont="1" applyBorder="1"/>
    <xf numFmtId="0" fontId="0" fillId="0" borderId="75" xfId="0" applyBorder="1"/>
    <xf numFmtId="166" fontId="2" fillId="0" borderId="76" xfId="0" applyNumberFormat="1" applyFont="1" applyBorder="1"/>
    <xf numFmtId="166" fontId="2" fillId="0" borderId="12" xfId="0" applyNumberFormat="1" applyFont="1" applyBorder="1"/>
    <xf numFmtId="166" fontId="2" fillId="0" borderId="54" xfId="0" applyNumberFormat="1" applyFont="1" applyBorder="1"/>
    <xf numFmtId="0" fontId="2" fillId="0" borderId="13" xfId="0" applyFont="1" applyBorder="1"/>
    <xf numFmtId="166" fontId="2" fillId="0" borderId="26" xfId="0" applyNumberFormat="1" applyFont="1" applyBorder="1"/>
    <xf numFmtId="0" fontId="0" fillId="0" borderId="41" xfId="0" applyBorder="1"/>
    <xf numFmtId="0" fontId="3" fillId="0" borderId="28" xfId="0" applyFont="1" applyBorder="1" applyAlignment="1"/>
    <xf numFmtId="0" fontId="0" fillId="0" borderId="28" xfId="0" applyBorder="1"/>
    <xf numFmtId="0" fontId="3" fillId="0" borderId="12" xfId="0" applyFont="1" applyBorder="1" applyAlignment="1"/>
    <xf numFmtId="2" fontId="2" fillId="0" borderId="64" xfId="0" applyNumberFormat="1" applyFont="1" applyBorder="1"/>
    <xf numFmtId="2" fontId="2" fillId="0" borderId="66" xfId="0" applyNumberFormat="1" applyFont="1" applyBorder="1"/>
    <xf numFmtId="2" fontId="2" fillId="0" borderId="67" xfId="0" applyNumberFormat="1" applyFont="1" applyBorder="1"/>
    <xf numFmtId="4" fontId="2" fillId="0" borderId="12" xfId="0" applyNumberFormat="1" applyFont="1" applyBorder="1"/>
    <xf numFmtId="0" fontId="3" fillId="0" borderId="19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2" fontId="2" fillId="0" borderId="59" xfId="0" applyNumberFormat="1" applyFont="1" applyBorder="1"/>
    <xf numFmtId="0" fontId="2" fillId="0" borderId="32" xfId="0" applyFont="1" applyBorder="1" applyAlignment="1">
      <alignment horizontal="left" indent="1"/>
    </xf>
    <xf numFmtId="0" fontId="3" fillId="0" borderId="19" xfId="0" applyFont="1" applyBorder="1" applyAlignment="1"/>
    <xf numFmtId="0" fontId="3" fillId="0" borderId="13" xfId="0" applyFont="1" applyBorder="1" applyAlignment="1">
      <alignment horizontal="center"/>
    </xf>
    <xf numFmtId="3" fontId="2" fillId="0" borderId="0" xfId="0" applyNumberFormat="1" applyFont="1" applyBorder="1"/>
    <xf numFmtId="0" fontId="9" fillId="0" borderId="11" xfId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39" xfId="1" applyFont="1" applyBorder="1" applyAlignment="1">
      <alignment horizontal="center"/>
    </xf>
    <xf numFmtId="2" fontId="10" fillId="0" borderId="26" xfId="0" applyNumberFormat="1" applyFont="1" applyBorder="1" applyAlignment="1"/>
    <xf numFmtId="0" fontId="3" fillId="0" borderId="65" xfId="0" applyFont="1" applyBorder="1"/>
    <xf numFmtId="10" fontId="2" fillId="0" borderId="30" xfId="0" applyNumberFormat="1" applyFont="1" applyBorder="1"/>
    <xf numFmtId="0" fontId="2" fillId="0" borderId="31" xfId="0" applyFont="1" applyBorder="1"/>
    <xf numFmtId="3" fontId="2" fillId="0" borderId="34" xfId="0" applyNumberFormat="1" applyFont="1" applyBorder="1"/>
    <xf numFmtId="3" fontId="2" fillId="0" borderId="33" xfId="0" applyNumberFormat="1" applyFont="1" applyBorder="1"/>
    <xf numFmtId="0" fontId="3" fillId="0" borderId="60" xfId="1" applyFont="1" applyFill="1" applyBorder="1" applyAlignment="1"/>
    <xf numFmtId="10" fontId="2" fillId="0" borderId="7" xfId="0" applyNumberFormat="1" applyFont="1" applyBorder="1"/>
    <xf numFmtId="0" fontId="2" fillId="0" borderId="27" xfId="0" applyFont="1" applyBorder="1"/>
    <xf numFmtId="3" fontId="2" fillId="0" borderId="26" xfId="0" applyNumberFormat="1" applyFont="1" applyBorder="1"/>
    <xf numFmtId="3" fontId="2" fillId="0" borderId="8" xfId="0" applyNumberFormat="1" applyFont="1" applyBorder="1"/>
    <xf numFmtId="10" fontId="2" fillId="0" borderId="68" xfId="0" applyNumberFormat="1" applyFont="1" applyBorder="1" applyAlignment="1">
      <alignment horizontal="left" indent="1"/>
    </xf>
    <xf numFmtId="4" fontId="2" fillId="0" borderId="75" xfId="0" applyNumberFormat="1" applyFont="1" applyBorder="1"/>
    <xf numFmtId="4" fontId="2" fillId="0" borderId="13" xfId="0" applyNumberFormat="1" applyFont="1" applyBorder="1"/>
    <xf numFmtId="0" fontId="0" fillId="0" borderId="30" xfId="0" applyBorder="1"/>
    <xf numFmtId="0" fontId="0" fillId="0" borderId="31" xfId="0" applyBorder="1"/>
    <xf numFmtId="0" fontId="0" fillId="0" borderId="7" xfId="0" applyBorder="1"/>
    <xf numFmtId="0" fontId="0" fillId="0" borderId="27" xfId="0" applyBorder="1"/>
    <xf numFmtId="0" fontId="10" fillId="0" borderId="0" xfId="0" applyFont="1"/>
    <xf numFmtId="0" fontId="3" fillId="0" borderId="0" xfId="0" applyFont="1"/>
    <xf numFmtId="0" fontId="10" fillId="0" borderId="64" xfId="0" applyFont="1" applyBorder="1"/>
    <xf numFmtId="0" fontId="10" fillId="0" borderId="53" xfId="0" applyFont="1" applyBorder="1"/>
    <xf numFmtId="2" fontId="10" fillId="0" borderId="34" xfId="0" applyNumberFormat="1" applyFont="1" applyBorder="1"/>
    <xf numFmtId="2" fontId="10" fillId="0" borderId="33" xfId="0" applyNumberFormat="1" applyFont="1" applyBorder="1"/>
    <xf numFmtId="0" fontId="10" fillId="0" borderId="66" xfId="0" applyFont="1" applyBorder="1"/>
    <xf numFmtId="0" fontId="10" fillId="0" borderId="70" xfId="0" applyFont="1" applyBorder="1"/>
    <xf numFmtId="2" fontId="10" fillId="0" borderId="23" xfId="0" applyNumberFormat="1" applyFont="1" applyBorder="1"/>
    <xf numFmtId="2" fontId="10" fillId="0" borderId="6" xfId="0" applyNumberFormat="1" applyFont="1" applyBorder="1"/>
    <xf numFmtId="0" fontId="10" fillId="0" borderId="67" xfId="0" applyFont="1" applyBorder="1"/>
    <xf numFmtId="0" fontId="10" fillId="0" borderId="69" xfId="0" applyFont="1" applyBorder="1"/>
    <xf numFmtId="2" fontId="10" fillId="0" borderId="26" xfId="0" applyNumberFormat="1" applyFont="1" applyBorder="1"/>
    <xf numFmtId="2" fontId="10" fillId="0" borderId="8" xfId="0" applyNumberFormat="1" applyFont="1" applyBorder="1"/>
    <xf numFmtId="166" fontId="10" fillId="0" borderId="25" xfId="0" applyNumberFormat="1" applyFont="1" applyBorder="1"/>
    <xf numFmtId="0" fontId="3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25" xfId="0" applyBorder="1"/>
    <xf numFmtId="0" fontId="3" fillId="0" borderId="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66" fontId="2" fillId="0" borderId="64" xfId="0" applyNumberFormat="1" applyFont="1" applyBorder="1" applyAlignment="1">
      <alignment horizontal="right"/>
    </xf>
    <xf numFmtId="166" fontId="10" fillId="0" borderId="34" xfId="0" applyNumberFormat="1" applyFont="1" applyBorder="1"/>
    <xf numFmtId="166" fontId="10" fillId="0" borderId="65" xfId="0" applyNumberFormat="1" applyFont="1" applyBorder="1"/>
    <xf numFmtId="166" fontId="10" fillId="0" borderId="30" xfId="0" applyNumberFormat="1" applyFont="1" applyBorder="1"/>
    <xf numFmtId="166" fontId="10" fillId="0" borderId="31" xfId="0" applyNumberFormat="1" applyFont="1" applyBorder="1"/>
    <xf numFmtId="166" fontId="2" fillId="0" borderId="68" xfId="0" applyNumberFormat="1" applyFont="1" applyBorder="1" applyAlignment="1">
      <alignment horizontal="right"/>
    </xf>
    <xf numFmtId="166" fontId="2" fillId="0" borderId="26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6" fontId="2" fillId="0" borderId="27" xfId="0" applyNumberFormat="1" applyFont="1" applyBorder="1" applyAlignment="1">
      <alignment horizontal="right"/>
    </xf>
    <xf numFmtId="166" fontId="10" fillId="0" borderId="24" xfId="0" applyNumberFormat="1" applyFont="1" applyBorder="1"/>
    <xf numFmtId="0" fontId="3" fillId="0" borderId="64" xfId="0" applyFont="1" applyBorder="1"/>
    <xf numFmtId="0" fontId="3" fillId="0" borderId="53" xfId="0" applyFont="1" applyBorder="1"/>
    <xf numFmtId="0" fontId="3" fillId="0" borderId="67" xfId="0" applyFont="1" applyBorder="1"/>
    <xf numFmtId="0" fontId="3" fillId="0" borderId="69" xfId="0" applyFont="1" applyBorder="1"/>
    <xf numFmtId="0" fontId="10" fillId="0" borderId="28" xfId="0" applyFont="1" applyBorder="1"/>
    <xf numFmtId="2" fontId="10" fillId="0" borderId="30" xfId="0" applyNumberFormat="1" applyFont="1" applyBorder="1"/>
    <xf numFmtId="2" fontId="10" fillId="0" borderId="7" xfId="0" applyNumberFormat="1" applyFont="1" applyBorder="1"/>
    <xf numFmtId="2" fontId="10" fillId="0" borderId="71" xfId="0" applyNumberFormat="1" applyFont="1" applyBorder="1"/>
    <xf numFmtId="2" fontId="10" fillId="0" borderId="73" xfId="0" applyNumberFormat="1" applyFont="1" applyBorder="1"/>
    <xf numFmtId="0" fontId="10" fillId="0" borderId="19" xfId="0" applyFont="1" applyBorder="1" applyAlignment="1">
      <alignment horizontal="left" indent="1"/>
    </xf>
    <xf numFmtId="0" fontId="10" fillId="0" borderId="32" xfId="0" applyFont="1" applyBorder="1" applyAlignment="1">
      <alignment horizontal="left" indent="1"/>
    </xf>
    <xf numFmtId="2" fontId="10" fillId="0" borderId="3" xfId="0" applyNumberFormat="1" applyFont="1" applyBorder="1"/>
    <xf numFmtId="2" fontId="10" fillId="0" borderId="72" xfId="0" applyNumberFormat="1" applyFont="1" applyBorder="1"/>
    <xf numFmtId="0" fontId="10" fillId="0" borderId="2" xfId="0" applyFont="1" applyBorder="1" applyAlignment="1">
      <alignment horizontal="left" indent="1"/>
    </xf>
    <xf numFmtId="0" fontId="10" fillId="0" borderId="14" xfId="0" applyFont="1" applyBorder="1" applyAlignment="1">
      <alignment horizontal="left" indent="1"/>
    </xf>
    <xf numFmtId="0" fontId="10" fillId="0" borderId="68" xfId="0" applyFont="1" applyBorder="1"/>
    <xf numFmtId="0" fontId="10" fillId="0" borderId="75" xfId="0" applyFont="1" applyBorder="1"/>
    <xf numFmtId="2" fontId="10" fillId="0" borderId="24" xfId="0" applyNumberFormat="1" applyFont="1" applyBorder="1"/>
    <xf numFmtId="2" fontId="10" fillId="0" borderId="15" xfId="0" applyNumberFormat="1" applyFont="1" applyBorder="1"/>
    <xf numFmtId="2" fontId="10" fillId="0" borderId="44" xfId="0" applyNumberFormat="1" applyFont="1" applyBorder="1"/>
    <xf numFmtId="2" fontId="10" fillId="0" borderId="76" xfId="0" applyNumberFormat="1" applyFont="1" applyBorder="1"/>
    <xf numFmtId="0" fontId="10" fillId="0" borderId="17" xfId="0" applyFont="1" applyBorder="1" applyAlignment="1">
      <alignment horizontal="left" indent="1"/>
    </xf>
    <xf numFmtId="0" fontId="10" fillId="0" borderId="43" xfId="0" applyFont="1" applyBorder="1"/>
    <xf numFmtId="2" fontId="10" fillId="0" borderId="39" xfId="0" applyNumberFormat="1" applyFont="1" applyBorder="1"/>
    <xf numFmtId="2" fontId="10" fillId="0" borderId="47" xfId="0" applyNumberFormat="1" applyFont="1" applyBorder="1"/>
    <xf numFmtId="2" fontId="10" fillId="0" borderId="48" xfId="0" applyNumberFormat="1" applyFont="1" applyBorder="1"/>
    <xf numFmtId="2" fontId="10" fillId="0" borderId="77" xfId="0" applyNumberFormat="1" applyFont="1" applyBorder="1"/>
    <xf numFmtId="0" fontId="9" fillId="0" borderId="61" xfId="1" applyFont="1" applyBorder="1" applyAlignment="1">
      <alignment horizontal="center"/>
    </xf>
    <xf numFmtId="0" fontId="9" fillId="0" borderId="51" xfId="1" applyFont="1" applyBorder="1" applyAlignment="1">
      <alignment horizontal="center"/>
    </xf>
    <xf numFmtId="0" fontId="9" fillId="0" borderId="52" xfId="1" applyFont="1" applyBorder="1" applyAlignment="1">
      <alignment horizontal="center"/>
    </xf>
    <xf numFmtId="0" fontId="9" fillId="0" borderId="62" xfId="1" applyFont="1" applyBorder="1" applyAlignment="1">
      <alignment horizontal="center"/>
    </xf>
    <xf numFmtId="0" fontId="9" fillId="0" borderId="48" xfId="1" applyFont="1" applyBorder="1" applyAlignment="1">
      <alignment horizontal="center"/>
    </xf>
    <xf numFmtId="0" fontId="9" fillId="0" borderId="49" xfId="1" applyFont="1" applyBorder="1" applyAlignment="1">
      <alignment horizontal="center"/>
    </xf>
    <xf numFmtId="10" fontId="2" fillId="0" borderId="12" xfId="0" applyNumberFormat="1" applyFont="1" applyBorder="1"/>
    <xf numFmtId="4" fontId="10" fillId="0" borderId="30" xfId="0" applyNumberFormat="1" applyFont="1" applyBorder="1"/>
    <xf numFmtId="4" fontId="10" fillId="0" borderId="7" xfId="0" applyNumberFormat="1" applyFont="1" applyBorder="1"/>
    <xf numFmtId="4" fontId="10" fillId="0" borderId="33" xfId="0" applyNumberFormat="1" applyFont="1" applyBorder="1"/>
    <xf numFmtId="4" fontId="10" fillId="0" borderId="8" xfId="0" applyNumberFormat="1" applyFont="1" applyBorder="1"/>
    <xf numFmtId="0" fontId="3" fillId="0" borderId="19" xfId="0" applyFont="1" applyFill="1" applyBorder="1" applyAlignment="1"/>
    <xf numFmtId="0" fontId="0" fillId="0" borderId="64" xfId="0" applyBorder="1"/>
    <xf numFmtId="0" fontId="3" fillId="0" borderId="32" xfId="0" applyFont="1" applyFill="1" applyBorder="1" applyAlignment="1"/>
    <xf numFmtId="0" fontId="2" fillId="0" borderId="69" xfId="0" applyFont="1" applyBorder="1"/>
    <xf numFmtId="4" fontId="10" fillId="0" borderId="71" xfId="0" applyNumberFormat="1" applyFont="1" applyBorder="1"/>
    <xf numFmtId="4" fontId="10" fillId="0" borderId="73" xfId="0" applyNumberFormat="1" applyFont="1" applyBorder="1"/>
    <xf numFmtId="4" fontId="10" fillId="0" borderId="34" xfId="0" applyNumberFormat="1" applyFont="1" applyBorder="1"/>
    <xf numFmtId="4" fontId="10" fillId="0" borderId="26" xfId="0" applyNumberFormat="1" applyFont="1" applyBorder="1"/>
    <xf numFmtId="4" fontId="2" fillId="0" borderId="71" xfId="0" applyNumberFormat="1" applyFont="1" applyBorder="1"/>
    <xf numFmtId="4" fontId="2" fillId="0" borderId="73" xfId="0" applyNumberFormat="1" applyFont="1" applyBorder="1"/>
    <xf numFmtId="4" fontId="2" fillId="0" borderId="33" xfId="0" applyNumberFormat="1" applyFont="1" applyBorder="1"/>
    <xf numFmtId="4" fontId="2" fillId="0" borderId="8" xfId="0" applyNumberFormat="1" applyFont="1" applyBorder="1"/>
    <xf numFmtId="165" fontId="2" fillId="0" borderId="0" xfId="0" applyNumberFormat="1" applyFont="1" applyFill="1" applyBorder="1" applyAlignment="1">
      <alignment horizontal="center"/>
    </xf>
    <xf numFmtId="10" fontId="2" fillId="0" borderId="18" xfId="0" applyNumberFormat="1" applyFont="1" applyBorder="1"/>
    <xf numFmtId="10" fontId="2" fillId="0" borderId="9" xfId="0" applyNumberFormat="1" applyFont="1" applyBorder="1"/>
    <xf numFmtId="10" fontId="2" fillId="0" borderId="25" xfId="0" applyNumberFormat="1" applyFont="1" applyBorder="1"/>
    <xf numFmtId="0" fontId="4" fillId="2" borderId="0" xfId="0" applyFont="1" applyFill="1" applyBorder="1"/>
    <xf numFmtId="0" fontId="3" fillId="0" borderId="2" xfId="0" applyFont="1" applyBorder="1"/>
    <xf numFmtId="4" fontId="2" fillId="0" borderId="23" xfId="0" applyNumberFormat="1" applyFont="1" applyBorder="1"/>
    <xf numFmtId="0" fontId="3" fillId="0" borderId="0" xfId="0" applyFont="1" applyBorder="1" applyAlignment="1">
      <alignment wrapText="1"/>
    </xf>
    <xf numFmtId="4" fontId="2" fillId="0" borderId="6" xfId="0" applyNumberFormat="1" applyFont="1" applyBorder="1"/>
    <xf numFmtId="165" fontId="3" fillId="0" borderId="0" xfId="0" applyNumberFormat="1" applyFont="1" applyFill="1" applyBorder="1" applyAlignment="1">
      <alignment horizontal="center"/>
    </xf>
    <xf numFmtId="0" fontId="0" fillId="7" borderId="0" xfId="0" applyFill="1" applyBorder="1" applyProtection="1"/>
    <xf numFmtId="4" fontId="0" fillId="2" borderId="0" xfId="0" applyNumberFormat="1" applyFill="1" applyBorder="1" applyProtection="1"/>
    <xf numFmtId="0" fontId="6" fillId="7" borderId="0" xfId="0" applyFont="1" applyFill="1" applyBorder="1" applyProtection="1"/>
    <xf numFmtId="0" fontId="4" fillId="2" borderId="0" xfId="0" applyFont="1" applyFill="1" applyBorder="1" applyAlignment="1" applyProtection="1">
      <alignment horizontal="left" indent="1"/>
    </xf>
    <xf numFmtId="2" fontId="2" fillId="0" borderId="57" xfId="0" applyNumberFormat="1" applyFont="1" applyBorder="1"/>
    <xf numFmtId="0" fontId="3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2" fontId="3" fillId="7" borderId="0" xfId="0" applyNumberFormat="1" applyFont="1" applyFill="1" applyBorder="1"/>
    <xf numFmtId="4" fontId="2" fillId="0" borderId="9" xfId="0" applyNumberFormat="1" applyFont="1" applyBorder="1"/>
    <xf numFmtId="0" fontId="2" fillId="0" borderId="0" xfId="0" applyFont="1" applyFill="1" applyBorder="1"/>
    <xf numFmtId="165" fontId="2" fillId="0" borderId="28" xfId="0" applyNumberFormat="1" applyFont="1" applyFill="1" applyBorder="1" applyAlignment="1">
      <alignment horizontal="center"/>
    </xf>
    <xf numFmtId="0" fontId="0" fillId="2" borderId="0" xfId="0" applyFill="1" applyBorder="1" applyAlignment="1" applyProtection="1">
      <alignment horizontal="left" indent="1"/>
    </xf>
    <xf numFmtId="0" fontId="3" fillId="0" borderId="78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2" fontId="2" fillId="0" borderId="74" xfId="0" applyNumberFormat="1" applyFont="1" applyBorder="1"/>
    <xf numFmtId="4" fontId="2" fillId="0" borderId="72" xfId="0" applyNumberFormat="1" applyFont="1" applyBorder="1"/>
    <xf numFmtId="166" fontId="2" fillId="0" borderId="71" xfId="0" applyNumberFormat="1" applyFont="1" applyBorder="1"/>
    <xf numFmtId="10" fontId="2" fillId="0" borderId="52" xfId="0" applyNumberFormat="1" applyFont="1" applyBorder="1"/>
    <xf numFmtId="2" fontId="2" fillId="0" borderId="79" xfId="0" applyNumberFormat="1" applyFont="1" applyBorder="1"/>
    <xf numFmtId="2" fontId="2" fillId="0" borderId="76" xfId="0" applyNumberFormat="1" applyFont="1" applyBorder="1"/>
    <xf numFmtId="0" fontId="3" fillId="0" borderId="38" xfId="0" applyFont="1" applyBorder="1" applyAlignment="1">
      <alignment horizontal="left"/>
    </xf>
    <xf numFmtId="10" fontId="2" fillId="0" borderId="11" xfId="0" applyNumberFormat="1" applyFont="1" applyBorder="1"/>
    <xf numFmtId="10" fontId="2" fillId="0" borderId="50" xfId="0" applyNumberFormat="1" applyFont="1" applyBorder="1"/>
    <xf numFmtId="10" fontId="2" fillId="0" borderId="78" xfId="0" applyNumberFormat="1" applyFont="1" applyBorder="1"/>
    <xf numFmtId="4" fontId="2" fillId="0" borderId="67" xfId="0" applyNumberFormat="1" applyFont="1" applyBorder="1"/>
    <xf numFmtId="10" fontId="2" fillId="0" borderId="54" xfId="0" applyNumberFormat="1" applyFont="1" applyBorder="1"/>
    <xf numFmtId="166" fontId="2" fillId="0" borderId="36" xfId="0" applyNumberFormat="1" applyFont="1" applyBorder="1"/>
    <xf numFmtId="0" fontId="0" fillId="0" borderId="0" xfId="0" applyAlignment="1">
      <alignment horizontal="center"/>
    </xf>
    <xf numFmtId="0" fontId="3" fillId="0" borderId="3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0" fontId="2" fillId="0" borderId="10" xfId="0" applyNumberFormat="1" applyFont="1" applyBorder="1"/>
    <xf numFmtId="0" fontId="3" fillId="0" borderId="5" xfId="0" applyFont="1" applyBorder="1" applyAlignment="1"/>
    <xf numFmtId="0" fontId="0" fillId="0" borderId="0" xfId="0" applyAlignment="1">
      <alignment horizontal="center"/>
    </xf>
    <xf numFmtId="0" fontId="2" fillId="0" borderId="4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4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3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34" xfId="0" applyFont="1" applyBorder="1"/>
    <xf numFmtId="0" fontId="2" fillId="0" borderId="26" xfId="0" applyFont="1" applyBorder="1"/>
    <xf numFmtId="0" fontId="2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1" fillId="8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4" fontId="1" fillId="7" borderId="0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1" fillId="2" borderId="0" xfId="0" applyFont="1" applyFill="1" applyBorder="1"/>
    <xf numFmtId="2" fontId="1" fillId="7" borderId="0" xfId="0" applyNumberFormat="1" applyFont="1" applyFill="1" applyBorder="1"/>
    <xf numFmtId="4" fontId="4" fillId="8" borderId="41" xfId="0" applyNumberFormat="1" applyFont="1" applyFill="1" applyBorder="1" applyAlignment="1">
      <alignment horizontal="right"/>
    </xf>
    <xf numFmtId="4" fontId="1" fillId="7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/>
    <xf numFmtId="10" fontId="1" fillId="8" borderId="0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Protection="1"/>
    <xf numFmtId="0" fontId="1" fillId="2" borderId="0" xfId="0" applyFont="1" applyFill="1" applyBorder="1" applyProtection="1"/>
    <xf numFmtId="10" fontId="1" fillId="8" borderId="0" xfId="0" applyNumberFormat="1" applyFont="1" applyFill="1" applyBorder="1" applyProtection="1"/>
    <xf numFmtId="10" fontId="1" fillId="2" borderId="0" xfId="0" applyNumberFormat="1" applyFont="1" applyFill="1" applyBorder="1"/>
    <xf numFmtId="10" fontId="1" fillId="2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166" fontId="1" fillId="4" borderId="0" xfId="0" applyNumberFormat="1" applyFont="1" applyFill="1" applyBorder="1"/>
    <xf numFmtId="166" fontId="1" fillId="4" borderId="63" xfId="0" applyNumberFormat="1" applyFont="1" applyFill="1" applyBorder="1"/>
    <xf numFmtId="0" fontId="1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/>
    <xf numFmtId="0" fontId="8" fillId="2" borderId="0" xfId="0" applyFont="1" applyFill="1" applyBorder="1" applyAlignment="1" applyProtection="1"/>
    <xf numFmtId="0" fontId="1" fillId="2" borderId="0" xfId="0" applyFont="1" applyFill="1" applyBorder="1" applyAlignment="1"/>
    <xf numFmtId="2" fontId="1" fillId="4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4" fontId="1" fillId="4" borderId="0" xfId="0" applyNumberFormat="1" applyFont="1" applyFill="1" applyBorder="1" applyProtection="1"/>
    <xf numFmtId="2" fontId="1" fillId="7" borderId="0" xfId="0" applyNumberFormat="1" applyFont="1" applyFill="1" applyBorder="1" applyAlignment="1" applyProtection="1">
      <alignment horizontal="right"/>
    </xf>
    <xf numFmtId="0" fontId="1" fillId="7" borderId="0" xfId="0" applyFont="1" applyFill="1" applyBorder="1" applyAlignment="1" applyProtection="1">
      <alignment horizontal="right"/>
    </xf>
    <xf numFmtId="4" fontId="1" fillId="2" borderId="0" xfId="0" applyNumberFormat="1" applyFont="1" applyFill="1" applyBorder="1" applyProtection="1"/>
    <xf numFmtId="2" fontId="1" fillId="8" borderId="0" xfId="0" applyNumberFormat="1" applyFont="1" applyFill="1" applyBorder="1"/>
    <xf numFmtId="2" fontId="1" fillId="4" borderId="0" xfId="0" applyNumberFormat="1" applyFont="1" applyFill="1" applyBorder="1" applyProtection="1"/>
    <xf numFmtId="2" fontId="1" fillId="7" borderId="0" xfId="0" applyNumberFormat="1" applyFont="1" applyFill="1" applyBorder="1" applyProtection="1"/>
    <xf numFmtId="0" fontId="1" fillId="7" borderId="0" xfId="0" applyFont="1" applyFill="1" applyBorder="1" applyProtection="1"/>
    <xf numFmtId="2" fontId="1" fillId="7" borderId="0" xfId="0" applyNumberFormat="1" applyFont="1" applyFill="1" applyBorder="1" applyAlignment="1" applyProtection="1">
      <alignment horizontal="center"/>
    </xf>
    <xf numFmtId="4" fontId="1" fillId="7" borderId="0" xfId="0" applyNumberFormat="1" applyFont="1" applyFill="1" applyBorder="1" applyProtection="1"/>
    <xf numFmtId="10" fontId="1" fillId="4" borderId="0" xfId="0" applyNumberFormat="1" applyFont="1" applyFill="1" applyBorder="1" applyAlignment="1" applyProtection="1"/>
    <xf numFmtId="1" fontId="1" fillId="2" borderId="0" xfId="0" applyNumberFormat="1" applyFont="1" applyFill="1" applyBorder="1" applyAlignment="1" applyProtection="1">
      <alignment horizontal="center"/>
    </xf>
    <xf numFmtId="10" fontId="1" fillId="8" borderId="0" xfId="0" applyNumberFormat="1" applyFont="1" applyFill="1" applyBorder="1" applyAlignment="1" applyProtection="1">
      <alignment horizontal="right"/>
    </xf>
    <xf numFmtId="10" fontId="1" fillId="2" borderId="0" xfId="0" applyNumberFormat="1" applyFont="1" applyFill="1" applyBorder="1" applyAlignment="1" applyProtection="1">
      <alignment horizontal="right"/>
    </xf>
    <xf numFmtId="0" fontId="1" fillId="7" borderId="0" xfId="0" applyFont="1" applyFill="1" applyBorder="1" applyAlignment="1" applyProtection="1">
      <alignment horizontal="center"/>
    </xf>
    <xf numFmtId="166" fontId="1" fillId="4" borderId="0" xfId="0" applyNumberFormat="1" applyFont="1" applyFill="1" applyBorder="1" applyProtection="1"/>
    <xf numFmtId="166" fontId="4" fillId="4" borderId="63" xfId="0" applyNumberFormat="1" applyFont="1" applyFill="1" applyBorder="1" applyProtection="1"/>
    <xf numFmtId="0" fontId="4" fillId="2" borderId="0" xfId="0" applyFont="1" applyFill="1" applyBorder="1" applyProtection="1"/>
    <xf numFmtId="10" fontId="1" fillId="2" borderId="0" xfId="0" applyNumberFormat="1" applyFont="1" applyFill="1" applyBorder="1" applyProtection="1"/>
    <xf numFmtId="0" fontId="1" fillId="0" borderId="34" xfId="0" applyFont="1" applyBorder="1" applyProtection="1"/>
    <xf numFmtId="0" fontId="1" fillId="0" borderId="26" xfId="0" applyFont="1" applyBorder="1" applyProtection="1"/>
    <xf numFmtId="165" fontId="2" fillId="0" borderId="0" xfId="0" applyNumberFormat="1" applyFont="1"/>
    <xf numFmtId="165" fontId="3" fillId="0" borderId="41" xfId="0" applyNumberFormat="1" applyFont="1" applyBorder="1"/>
    <xf numFmtId="165" fontId="3" fillId="0" borderId="0" xfId="0" applyNumberFormat="1" applyFont="1"/>
    <xf numFmtId="165" fontId="3" fillId="0" borderId="63" xfId="0" applyNumberFormat="1" applyFont="1" applyBorder="1"/>
    <xf numFmtId="165" fontId="3" fillId="0" borderId="80" xfId="0" applyNumberFormat="1" applyFont="1" applyBorder="1"/>
    <xf numFmtId="0" fontId="2" fillId="2" borderId="0" xfId="0" applyFont="1" applyFill="1"/>
    <xf numFmtId="0" fontId="1" fillId="2" borderId="0" xfId="0" applyFont="1" applyFill="1"/>
    <xf numFmtId="2" fontId="1" fillId="4" borderId="0" xfId="0" applyNumberFormat="1" applyFont="1" applyFill="1"/>
    <xf numFmtId="2" fontId="1" fillId="2" borderId="0" xfId="0" applyNumberFormat="1" applyFont="1" applyFill="1"/>
    <xf numFmtId="0" fontId="4" fillId="2" borderId="0" xfId="0" applyFont="1" applyFill="1"/>
    <xf numFmtId="2" fontId="4" fillId="4" borderId="41" xfId="0" applyNumberFormat="1" applyFont="1" applyFill="1" applyBorder="1"/>
    <xf numFmtId="2" fontId="4" fillId="2" borderId="0" xfId="0" applyNumberFormat="1" applyFont="1" applyFill="1"/>
    <xf numFmtId="0" fontId="0" fillId="2" borderId="0" xfId="0" applyFill="1"/>
    <xf numFmtId="4" fontId="1" fillId="4" borderId="0" xfId="0" applyNumberFormat="1" applyFont="1" applyFill="1"/>
    <xf numFmtId="4" fontId="4" fillId="8" borderId="63" xfId="0" applyNumberFormat="1" applyFont="1" applyFill="1" applyBorder="1"/>
    <xf numFmtId="4" fontId="4" fillId="2" borderId="0" xfId="0" applyNumberFormat="1" applyFont="1" applyFill="1"/>
    <xf numFmtId="4" fontId="4" fillId="4" borderId="80" xfId="0" applyNumberFormat="1" applyFont="1" applyFill="1" applyBorder="1"/>
    <xf numFmtId="0" fontId="4" fillId="0" borderId="25" xfId="0" applyFont="1" applyBorder="1" applyAlignment="1">
      <alignment horizontal="center"/>
    </xf>
    <xf numFmtId="4" fontId="1" fillId="0" borderId="46" xfId="0" applyNumberFormat="1" applyFont="1" applyBorder="1"/>
    <xf numFmtId="4" fontId="1" fillId="0" borderId="24" xfId="0" applyNumberFormat="1" applyFont="1" applyBorder="1"/>
    <xf numFmtId="4" fontId="1" fillId="0" borderId="25" xfId="0" applyNumberFormat="1" applyFont="1" applyBorder="1"/>
    <xf numFmtId="0" fontId="3" fillId="0" borderId="2" xfId="0" applyFont="1" applyBorder="1" applyAlignment="1">
      <alignment horizontal="left"/>
    </xf>
    <xf numFmtId="4" fontId="4" fillId="4" borderId="41" xfId="0" applyNumberFormat="1" applyFont="1" applyFill="1" applyBorder="1"/>
    <xf numFmtId="4" fontId="1" fillId="4" borderId="0" xfId="0" applyNumberFormat="1" applyFont="1" applyFill="1" applyBorder="1"/>
    <xf numFmtId="4" fontId="4" fillId="4" borderId="41" xfId="0" applyNumberFormat="1" applyFont="1" applyFill="1" applyBorder="1" applyProtection="1"/>
    <xf numFmtId="0" fontId="4" fillId="0" borderId="0" xfId="0" applyFont="1" applyBorder="1" applyProtection="1"/>
    <xf numFmtId="4" fontId="1" fillId="0" borderId="60" xfId="0" applyNumberFormat="1" applyFont="1" applyBorder="1" applyProtection="1"/>
    <xf numFmtId="2" fontId="0" fillId="0" borderId="57" xfId="0" applyNumberFormat="1" applyBorder="1" applyProtection="1"/>
    <xf numFmtId="2" fontId="0" fillId="0" borderId="58" xfId="0" applyNumberFormat="1" applyBorder="1" applyProtection="1"/>
    <xf numFmtId="2" fontId="0" fillId="0" borderId="35" xfId="0" applyNumberFormat="1" applyBorder="1" applyProtection="1"/>
    <xf numFmtId="0" fontId="4" fillId="0" borderId="36" xfId="0" applyFont="1" applyBorder="1" applyProtection="1"/>
    <xf numFmtId="0" fontId="4" fillId="0" borderId="10" xfId="0" applyFont="1" applyBorder="1" applyProtection="1"/>
    <xf numFmtId="0" fontId="4" fillId="0" borderId="18" xfId="0" applyFont="1" applyBorder="1" applyProtection="1"/>
    <xf numFmtId="0" fontId="2" fillId="0" borderId="2" xfId="0" applyFont="1" applyBorder="1" applyAlignment="1">
      <alignment horizontal="left" wrapText="1" indent="1"/>
    </xf>
    <xf numFmtId="0" fontId="2" fillId="0" borderId="32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right"/>
    </xf>
    <xf numFmtId="4" fontId="4" fillId="4" borderId="63" xfId="0" applyNumberFormat="1" applyFont="1" applyFill="1" applyBorder="1"/>
    <xf numFmtId="4" fontId="1" fillId="0" borderId="1" xfId="0" applyNumberFormat="1" applyFont="1" applyBorder="1"/>
    <xf numFmtId="2" fontId="4" fillId="4" borderId="80" xfId="0" applyNumberFormat="1" applyFont="1" applyFill="1" applyBorder="1"/>
    <xf numFmtId="4" fontId="1" fillId="0" borderId="11" xfId="0" applyNumberFormat="1" applyFont="1" applyBorder="1"/>
    <xf numFmtId="4" fontId="1" fillId="0" borderId="39" xfId="0" applyNumberFormat="1" applyFont="1" applyBorder="1"/>
    <xf numFmtId="4" fontId="1" fillId="0" borderId="0" xfId="0" applyNumberFormat="1" applyFont="1" applyBorder="1"/>
    <xf numFmtId="165" fontId="4" fillId="0" borderId="0" xfId="0" applyNumberFormat="1" applyFont="1"/>
    <xf numFmtId="2" fontId="4" fillId="4" borderId="63" xfId="0" applyNumberFormat="1" applyFont="1" applyFill="1" applyBorder="1"/>
    <xf numFmtId="0" fontId="3" fillId="0" borderId="38" xfId="0" applyFont="1" applyBorder="1" applyAlignment="1">
      <alignment horizontal="left"/>
    </xf>
    <xf numFmtId="0" fontId="0" fillId="0" borderId="41" xfId="0" applyBorder="1" applyAlignment="1"/>
    <xf numFmtId="0" fontId="0" fillId="0" borderId="42" xfId="0" applyBorder="1" applyAlignment="1"/>
    <xf numFmtId="0" fontId="0" fillId="0" borderId="17" xfId="0" applyBorder="1" applyAlignment="1"/>
    <xf numFmtId="0" fontId="0" fillId="0" borderId="28" xfId="0" applyBorder="1" applyAlignment="1"/>
    <xf numFmtId="0" fontId="0" fillId="0" borderId="43" xfId="0" applyBorder="1" applyAlignment="1"/>
    <xf numFmtId="0" fontId="3" fillId="0" borderId="38" xfId="0" applyFont="1" applyBorder="1" applyAlignment="1"/>
    <xf numFmtId="0" fontId="3" fillId="0" borderId="5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3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9" fillId="0" borderId="1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3" xfId="0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0" fontId="2" fillId="0" borderId="73" xfId="0" applyNumberFormat="1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67" xfId="0" applyBorder="1" applyAlignment="1">
      <alignment horizontal="center"/>
    </xf>
    <xf numFmtId="0" fontId="3" fillId="0" borderId="38" xfId="1" applyFont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42" xfId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/>
    <xf numFmtId="0" fontId="7" fillId="6" borderId="0" xfId="0" applyFont="1" applyFill="1" applyBorder="1" applyAlignment="1" applyProtection="1">
      <alignment horizontal="center"/>
    </xf>
    <xf numFmtId="0" fontId="0" fillId="0" borderId="0" xfId="0" applyBorder="1" applyAlignment="1"/>
    <xf numFmtId="0" fontId="0" fillId="0" borderId="0" xfId="0" applyAlignment="1"/>
  </cellXfs>
  <cellStyles count="2">
    <cellStyle name="Normal" xfId="0" builtinId="0"/>
    <cellStyle name="Normal_Rutebilkørsel i Provinsen 2007-2010" xfId="1" xr:uid="{00000000-0005-0000-0000-000001000000}"/>
  </cellStyles>
  <dxfs count="0"/>
  <tableStyles count="0" defaultTableStyle="TableStyleMedium9" defaultPivotStyle="PivotStyleLight16"/>
  <colors>
    <mruColors>
      <color rgb="FF99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3365370</xdr:colOff>
      <xdr:row>4</xdr:row>
      <xdr:rowOff>76200</xdr:rowOff>
    </xdr:from>
    <xdr:to>
      <xdr:col>2</xdr:col>
      <xdr:colOff>154563</xdr:colOff>
      <xdr:row>5</xdr:row>
      <xdr:rowOff>180975</xdr:rowOff>
    </xdr:to>
    <xdr:sp macro="" textlink="">
      <xdr:nvSpPr>
        <xdr:cNvPr id="3106" name="AutoShape 2">
          <a:extLst>
            <a:ext uri="{FF2B5EF4-FFF2-40B4-BE49-F238E27FC236}">
              <a16:creationId xmlns:a16="http://schemas.microsoft.com/office/drawing/2014/main" id="{00000000-0008-0000-0700-0000220C0000}"/>
            </a:ext>
          </a:extLst>
        </xdr:cNvPr>
        <xdr:cNvSpPr>
          <a:spLocks noChangeArrowheads="1"/>
        </xdr:cNvSpPr>
      </xdr:nvSpPr>
      <xdr:spPr bwMode="auto">
        <a:xfrm>
          <a:off x="3546169" y="808214"/>
          <a:ext cx="171450" cy="294393"/>
        </a:xfrm>
        <a:prstGeom prst="downArrow">
          <a:avLst>
            <a:gd name="adj1" fmla="val 50000"/>
            <a:gd name="adj2" fmla="val 43056"/>
          </a:avLst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3371850</xdr:colOff>
      <xdr:row>4</xdr:row>
      <xdr:rowOff>76200</xdr:rowOff>
    </xdr:from>
    <xdr:to>
      <xdr:col>2</xdr:col>
      <xdr:colOff>152400</xdr:colOff>
      <xdr:row>5</xdr:row>
      <xdr:rowOff>180975</xdr:rowOff>
    </xdr:to>
    <xdr:sp macro="" textlink="">
      <xdr:nvSpPr>
        <xdr:cNvPr id="2090" name="AutoShape 2">
          <a:extLst>
            <a:ext uri="{FF2B5EF4-FFF2-40B4-BE49-F238E27FC236}">
              <a16:creationId xmlns:a16="http://schemas.microsoft.com/office/drawing/2014/main" id="{00000000-0008-0000-0800-00002A080000}"/>
            </a:ext>
          </a:extLst>
        </xdr:cNvPr>
        <xdr:cNvSpPr>
          <a:spLocks noChangeArrowheads="1"/>
        </xdr:cNvSpPr>
      </xdr:nvSpPr>
      <xdr:spPr bwMode="auto">
        <a:xfrm>
          <a:off x="3552825" y="809625"/>
          <a:ext cx="161925" cy="295275"/>
        </a:xfrm>
        <a:prstGeom prst="downArrow">
          <a:avLst>
            <a:gd name="adj1" fmla="val 50000"/>
            <a:gd name="adj2" fmla="val 45588"/>
          </a:avLst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zoomScale="200" zoomScaleNormal="200" workbookViewId="0">
      <selection activeCell="A2" sqref="A2:H2"/>
    </sheetView>
  </sheetViews>
  <sheetFormatPr defaultColWidth="9" defaultRowHeight="15" x14ac:dyDescent="0.2"/>
  <cols>
    <col min="1" max="1" width="41.28515625" style="1" customWidth="1"/>
    <col min="2" max="5" width="11.42578125" style="1" customWidth="1"/>
    <col min="6" max="6" width="9" style="1"/>
    <col min="7" max="7" width="11.5703125" style="1" bestFit="1" customWidth="1"/>
    <col min="8" max="16384" width="9" style="1"/>
  </cols>
  <sheetData>
    <row r="1" spans="1:14" ht="15.75" x14ac:dyDescent="0.25">
      <c r="A1" s="16"/>
      <c r="B1" s="77" t="s">
        <v>2</v>
      </c>
      <c r="C1" s="78" t="s">
        <v>3</v>
      </c>
      <c r="D1" s="380" t="s">
        <v>3</v>
      </c>
      <c r="E1" s="80" t="s">
        <v>3</v>
      </c>
    </row>
    <row r="2" spans="1:14" ht="15.75" x14ac:dyDescent="0.25">
      <c r="A2" s="56"/>
      <c r="B2" s="73" t="s">
        <v>31</v>
      </c>
      <c r="C2" s="74">
        <v>2020</v>
      </c>
      <c r="D2" s="381">
        <v>2021</v>
      </c>
      <c r="E2" s="76">
        <v>2022</v>
      </c>
      <c r="G2" s="49"/>
      <c r="H2" s="49"/>
      <c r="I2" s="49"/>
      <c r="J2" s="50"/>
      <c r="K2" s="50"/>
      <c r="L2" s="50"/>
      <c r="M2" s="50"/>
      <c r="N2" s="50"/>
    </row>
    <row r="3" spans="1:14" ht="15.75" x14ac:dyDescent="0.25">
      <c r="A3" s="24" t="s">
        <v>53</v>
      </c>
      <c r="B3" s="92">
        <v>127.74999999999999</v>
      </c>
      <c r="C3" s="188">
        <v>3.2</v>
      </c>
      <c r="D3" s="222">
        <v>3.2</v>
      </c>
      <c r="E3" s="40">
        <v>3.15</v>
      </c>
      <c r="G3" s="37"/>
      <c r="H3" s="37"/>
      <c r="I3" s="37"/>
      <c r="J3" s="50"/>
      <c r="K3" s="50"/>
      <c r="L3" s="50"/>
      <c r="M3" s="50"/>
      <c r="N3" s="50"/>
    </row>
    <row r="4" spans="1:14" ht="15.75" x14ac:dyDescent="0.25">
      <c r="A4" s="362" t="s">
        <v>54</v>
      </c>
      <c r="B4" s="363">
        <v>132.69999999999999</v>
      </c>
      <c r="C4" s="251">
        <f t="shared" ref="C4:E5" si="0">C3</f>
        <v>3.2</v>
      </c>
      <c r="D4" s="246">
        <f t="shared" si="0"/>
        <v>3.2</v>
      </c>
      <c r="E4" s="7">
        <f t="shared" si="0"/>
        <v>3.15</v>
      </c>
      <c r="G4" s="37"/>
      <c r="H4" s="37"/>
      <c r="I4" s="37"/>
      <c r="J4" s="50"/>
      <c r="K4" s="50"/>
      <c r="L4" s="50"/>
      <c r="M4" s="50"/>
      <c r="N4" s="50"/>
    </row>
    <row r="5" spans="1:14" ht="15.75" x14ac:dyDescent="0.25">
      <c r="A5" s="55" t="s">
        <v>55</v>
      </c>
      <c r="B5" s="46">
        <v>101.43999999999998</v>
      </c>
      <c r="C5" s="195">
        <f t="shared" si="0"/>
        <v>3.2</v>
      </c>
      <c r="D5" s="247">
        <f t="shared" si="0"/>
        <v>3.2</v>
      </c>
      <c r="E5" s="33">
        <f t="shared" si="0"/>
        <v>3.15</v>
      </c>
      <c r="G5" s="37"/>
      <c r="H5" s="37"/>
      <c r="I5" s="37"/>
      <c r="J5" s="50"/>
      <c r="K5" s="50"/>
      <c r="L5" s="50"/>
      <c r="M5" s="50"/>
      <c r="N5" s="50"/>
    </row>
    <row r="6" spans="1:14" ht="15.75" x14ac:dyDescent="0.25">
      <c r="A6" s="530"/>
      <c r="B6" s="531"/>
      <c r="C6" s="531"/>
      <c r="D6" s="531"/>
      <c r="E6" s="532"/>
      <c r="G6" s="37"/>
      <c r="H6" s="37"/>
      <c r="I6" s="37"/>
      <c r="J6" s="50"/>
      <c r="K6" s="50"/>
      <c r="L6" s="50"/>
      <c r="M6" s="50"/>
      <c r="N6" s="50"/>
    </row>
    <row r="7" spans="1:14" ht="15.75" x14ac:dyDescent="0.25">
      <c r="A7" s="24" t="s">
        <v>56</v>
      </c>
      <c r="B7" s="92">
        <v>4.9499999999999993</v>
      </c>
      <c r="C7" s="42"/>
      <c r="D7" s="222"/>
      <c r="E7" s="40"/>
      <c r="G7" s="37"/>
      <c r="H7" s="37"/>
      <c r="I7" s="37"/>
      <c r="J7" s="50"/>
      <c r="K7" s="50"/>
      <c r="L7" s="50"/>
      <c r="M7" s="50"/>
      <c r="N7" s="50"/>
    </row>
    <row r="8" spans="1:14" ht="15.75" x14ac:dyDescent="0.25">
      <c r="A8" s="494" t="s">
        <v>82</v>
      </c>
      <c r="B8" s="28">
        <v>9.1999999999999993</v>
      </c>
      <c r="C8" s="10"/>
      <c r="D8" s="223"/>
      <c r="E8" s="7"/>
      <c r="G8" s="37"/>
      <c r="H8" s="37"/>
      <c r="I8" s="37"/>
      <c r="J8" s="37"/>
      <c r="K8" s="50"/>
      <c r="L8" s="50"/>
      <c r="M8" s="50"/>
      <c r="N8" s="50"/>
    </row>
    <row r="9" spans="1:14" ht="15.75" x14ac:dyDescent="0.25">
      <c r="A9" s="494" t="s">
        <v>57</v>
      </c>
      <c r="B9" s="28">
        <v>1</v>
      </c>
      <c r="C9" s="10"/>
      <c r="D9" s="223"/>
      <c r="E9" s="7"/>
      <c r="G9" s="50"/>
      <c r="H9" s="50"/>
      <c r="I9" s="50"/>
      <c r="J9" s="50"/>
      <c r="K9" s="51"/>
      <c r="L9" s="50"/>
      <c r="M9" s="50"/>
      <c r="N9" s="50"/>
    </row>
    <row r="10" spans="1:14" ht="15.75" x14ac:dyDescent="0.25">
      <c r="A10" s="250" t="s">
        <v>58</v>
      </c>
      <c r="B10" s="31">
        <v>2</v>
      </c>
      <c r="C10" s="12"/>
      <c r="D10" s="224"/>
      <c r="E10" s="33"/>
      <c r="G10" s="50"/>
      <c r="H10" s="50"/>
      <c r="I10" s="50"/>
      <c r="J10" s="50"/>
      <c r="K10" s="51"/>
      <c r="L10" s="50"/>
      <c r="M10" s="50"/>
      <c r="N10" s="50"/>
    </row>
    <row r="11" spans="1:14" ht="15.75" x14ac:dyDescent="0.25">
      <c r="A11" s="533"/>
      <c r="B11" s="531"/>
      <c r="C11" s="531"/>
      <c r="D11" s="531"/>
      <c r="E11" s="532"/>
      <c r="G11" s="50"/>
      <c r="H11" s="50"/>
      <c r="I11" s="50"/>
      <c r="J11" s="50"/>
      <c r="K11" s="51"/>
      <c r="L11" s="50"/>
      <c r="M11" s="50"/>
      <c r="N11" s="50"/>
    </row>
    <row r="12" spans="1:14" ht="15.75" x14ac:dyDescent="0.25">
      <c r="A12" s="292" t="s">
        <v>59</v>
      </c>
      <c r="B12" s="30"/>
      <c r="C12" s="88">
        <v>1.6E-2</v>
      </c>
      <c r="D12" s="238">
        <v>1.6E-2</v>
      </c>
      <c r="E12" s="90">
        <v>1.6E-2</v>
      </c>
      <c r="G12" s="50"/>
      <c r="H12" s="50"/>
      <c r="I12" s="50"/>
      <c r="J12" s="50"/>
      <c r="K12" s="51"/>
      <c r="L12" s="50"/>
      <c r="M12" s="50"/>
      <c r="N12" s="50"/>
    </row>
    <row r="13" spans="1:14" x14ac:dyDescent="0.2">
      <c r="A13" s="529" t="s">
        <v>83</v>
      </c>
      <c r="B13" s="524"/>
      <c r="C13" s="524"/>
      <c r="D13" s="524"/>
      <c r="E13" s="525"/>
      <c r="G13" s="50"/>
      <c r="H13" s="50"/>
      <c r="I13" s="50"/>
      <c r="J13" s="50"/>
      <c r="K13" s="51"/>
      <c r="L13" s="50"/>
      <c r="M13" s="50"/>
      <c r="N13" s="50"/>
    </row>
    <row r="14" spans="1:14" x14ac:dyDescent="0.2">
      <c r="A14" s="526"/>
      <c r="B14" s="527"/>
      <c r="C14" s="527"/>
      <c r="D14" s="527"/>
      <c r="E14" s="528"/>
      <c r="G14" s="50"/>
      <c r="H14" s="50"/>
      <c r="I14" s="50"/>
      <c r="J14" s="50"/>
      <c r="K14" s="50"/>
      <c r="L14" s="50"/>
      <c r="M14" s="50"/>
      <c r="N14" s="50"/>
    </row>
    <row r="15" spans="1:14" ht="45" x14ac:dyDescent="0.2">
      <c r="A15" s="409" t="s">
        <v>77</v>
      </c>
      <c r="B15" s="28">
        <v>39.569999999999993</v>
      </c>
      <c r="C15" s="251">
        <f>ROUND(B15*$C$12,2)</f>
        <v>0.63</v>
      </c>
      <c r="D15" s="6">
        <f>ROUND((B15+C15)*$D$12,2)</f>
        <v>0.64</v>
      </c>
      <c r="E15" s="7">
        <f>ROUND((B15+C15+D15)*$E$12,2)</f>
        <v>0.65</v>
      </c>
      <c r="G15" s="52"/>
      <c r="H15" s="52"/>
      <c r="I15" s="52"/>
      <c r="J15" s="50"/>
      <c r="K15" s="37"/>
      <c r="L15" s="37"/>
      <c r="M15" s="37"/>
      <c r="N15" s="37"/>
    </row>
    <row r="16" spans="1:14" x14ac:dyDescent="0.2">
      <c r="A16" s="403" t="s">
        <v>60</v>
      </c>
      <c r="B16" s="28">
        <v>57.39</v>
      </c>
      <c r="C16" s="251">
        <f>ROUND(B16*$C$12,2)</f>
        <v>0.92</v>
      </c>
      <c r="D16" s="6">
        <f>ROUND((B16+C16)*$D$12,2)</f>
        <v>0.93</v>
      </c>
      <c r="E16" s="7">
        <f>ROUND((B16+C16+D16)*$E$12,2)</f>
        <v>0.95</v>
      </c>
      <c r="G16" s="52"/>
      <c r="H16" s="52"/>
      <c r="I16" s="50"/>
      <c r="J16" s="50"/>
      <c r="K16" s="37"/>
      <c r="L16" s="37"/>
      <c r="M16" s="37"/>
      <c r="N16" s="37"/>
    </row>
    <row r="17" spans="1:14" ht="60" x14ac:dyDescent="0.2">
      <c r="A17" s="411" t="s">
        <v>78</v>
      </c>
      <c r="B17" s="31">
        <v>107.41999999999997</v>
      </c>
      <c r="C17" s="195">
        <f>ROUND(B17*$C$12,2)</f>
        <v>1.72</v>
      </c>
      <c r="D17" s="11">
        <f>ROUND((B17+C17)*$D$12,2)</f>
        <v>1.75</v>
      </c>
      <c r="E17" s="33">
        <f>ROUND((B17+C17+D17)*$E$12,2)</f>
        <v>1.77</v>
      </c>
      <c r="G17" s="52"/>
      <c r="H17" s="52"/>
      <c r="I17" s="50"/>
      <c r="J17" s="50"/>
      <c r="K17" s="37"/>
      <c r="L17" s="37"/>
      <c r="M17" s="37"/>
      <c r="N17" s="37"/>
    </row>
    <row r="18" spans="1:14" x14ac:dyDescent="0.2">
      <c r="A18" s="523" t="s">
        <v>61</v>
      </c>
      <c r="B18" s="524"/>
      <c r="C18" s="524"/>
      <c r="D18" s="524"/>
      <c r="E18" s="525"/>
      <c r="G18" s="52"/>
      <c r="H18" s="52"/>
      <c r="I18" s="50"/>
      <c r="J18" s="50"/>
      <c r="K18" s="37"/>
      <c r="L18" s="37"/>
      <c r="M18" s="37"/>
      <c r="N18" s="37"/>
    </row>
    <row r="19" spans="1:14" x14ac:dyDescent="0.2">
      <c r="A19" s="526"/>
      <c r="B19" s="527"/>
      <c r="C19" s="527"/>
      <c r="D19" s="527"/>
      <c r="E19" s="528"/>
      <c r="G19" s="52"/>
      <c r="H19" s="52"/>
      <c r="I19" s="50"/>
      <c r="J19" s="50"/>
      <c r="K19" s="37"/>
      <c r="L19" s="37"/>
      <c r="M19" s="37"/>
      <c r="N19" s="37"/>
    </row>
    <row r="20" spans="1:14" x14ac:dyDescent="0.2">
      <c r="A20" s="401" t="s">
        <v>62</v>
      </c>
      <c r="B20" s="66">
        <v>57.39</v>
      </c>
      <c r="C20" s="371">
        <f>ROUND(B20*$C$12,2)</f>
        <v>0.92</v>
      </c>
      <c r="D20" s="382">
        <f>ROUND((B20+C20)*$D$12,2)</f>
        <v>0.93</v>
      </c>
      <c r="E20" s="44">
        <f>ROUND((B20+C20+D20)*$E$12,2)</f>
        <v>0.95</v>
      </c>
      <c r="G20" s="52"/>
      <c r="H20" s="52"/>
      <c r="I20" s="50"/>
      <c r="J20" s="50"/>
      <c r="K20" s="37"/>
      <c r="L20" s="37"/>
      <c r="M20" s="37"/>
      <c r="N20" s="37"/>
    </row>
    <row r="21" spans="1:14" x14ac:dyDescent="0.2">
      <c r="A21" s="402" t="s">
        <v>63</v>
      </c>
      <c r="B21" s="29">
        <v>107.41999999999997</v>
      </c>
      <c r="C21" s="386">
        <f>ROUND(B21*$C$12,2)</f>
        <v>1.72</v>
      </c>
      <c r="D21" s="387">
        <f>ROUND((B21+C21)*$D$12,2)</f>
        <v>1.75</v>
      </c>
      <c r="E21" s="65">
        <f>ROUND((B21+C21+D21)*$E$12,2)</f>
        <v>1.77</v>
      </c>
      <c r="G21" s="52"/>
      <c r="H21" s="52"/>
      <c r="I21" s="50"/>
      <c r="J21" s="50"/>
      <c r="K21" s="37"/>
      <c r="L21" s="37"/>
      <c r="M21" s="37"/>
      <c r="N21" s="37"/>
    </row>
    <row r="22" spans="1:14" x14ac:dyDescent="0.2">
      <c r="A22" s="523" t="s">
        <v>64</v>
      </c>
      <c r="B22" s="524"/>
      <c r="C22" s="524"/>
      <c r="D22" s="524"/>
      <c r="E22" s="525"/>
      <c r="G22" s="52"/>
      <c r="H22" s="52"/>
      <c r="I22" s="50"/>
      <c r="J22" s="50"/>
      <c r="K22" s="37"/>
      <c r="L22" s="37"/>
      <c r="M22" s="37"/>
      <c r="N22" s="37"/>
    </row>
    <row r="23" spans="1:14" x14ac:dyDescent="0.2">
      <c r="A23" s="526"/>
      <c r="B23" s="527"/>
      <c r="C23" s="527"/>
      <c r="D23" s="527"/>
      <c r="E23" s="528"/>
      <c r="G23" s="52"/>
      <c r="H23" s="52"/>
      <c r="I23" s="50"/>
      <c r="J23" s="50"/>
      <c r="K23" s="37"/>
      <c r="L23" s="37"/>
      <c r="M23" s="37"/>
      <c r="N23" s="37"/>
    </row>
    <row r="24" spans="1:14" ht="30" x14ac:dyDescent="0.2">
      <c r="A24" s="409" t="s">
        <v>79</v>
      </c>
      <c r="B24" s="66">
        <v>71.570000000000007</v>
      </c>
      <c r="C24" s="371">
        <f>ROUND(B24*$C$12,2)</f>
        <v>1.1499999999999999</v>
      </c>
      <c r="D24" s="382">
        <f>ROUND((B24+C24)*$D$12,2)</f>
        <v>1.1599999999999999</v>
      </c>
      <c r="E24" s="44">
        <f>ROUND((B24+C24+D24)*$E$12,2)</f>
        <v>1.18</v>
      </c>
      <c r="G24" s="52"/>
      <c r="H24" s="52"/>
      <c r="I24" s="50"/>
      <c r="J24" s="50"/>
      <c r="K24" s="37"/>
      <c r="L24" s="37"/>
      <c r="M24" s="37"/>
      <c r="N24" s="37"/>
    </row>
    <row r="25" spans="1:14" ht="30" x14ac:dyDescent="0.2">
      <c r="A25" s="416" t="s">
        <v>80</v>
      </c>
      <c r="B25" s="28">
        <v>107.41999999999997</v>
      </c>
      <c r="C25" s="251">
        <f>ROUND(B25*$C$12,2)</f>
        <v>1.72</v>
      </c>
      <c r="D25" s="223">
        <f>ROUND((B25+C25)*$D$12,2)</f>
        <v>1.75</v>
      </c>
      <c r="E25" s="7">
        <f>ROUND((B25+C25+D25)*$E$12,2)</f>
        <v>1.77</v>
      </c>
      <c r="G25" s="52"/>
      <c r="H25" s="52"/>
      <c r="I25" s="50"/>
      <c r="J25" s="50"/>
      <c r="K25" s="37"/>
      <c r="L25" s="37"/>
      <c r="M25" s="37"/>
      <c r="N25" s="37"/>
    </row>
    <row r="26" spans="1:14" ht="30" x14ac:dyDescent="0.2">
      <c r="A26" s="413" t="s">
        <v>81</v>
      </c>
      <c r="B26" s="31">
        <v>107.41999999999997</v>
      </c>
      <c r="C26" s="195">
        <f>ROUND(B26*$C$12,2)</f>
        <v>1.72</v>
      </c>
      <c r="D26" s="224">
        <f>ROUND((B26+C26)*$D$12,2)</f>
        <v>1.75</v>
      </c>
      <c r="E26" s="7">
        <f>ROUND((B26+C26+D26)*$E$12,2)</f>
        <v>1.77</v>
      </c>
      <c r="G26" s="52"/>
      <c r="H26" s="52"/>
      <c r="I26" s="50"/>
      <c r="J26" s="50"/>
      <c r="K26" s="37"/>
      <c r="L26" s="37"/>
      <c r="M26" s="37"/>
      <c r="N26" s="37"/>
    </row>
    <row r="27" spans="1:14" x14ac:dyDescent="0.2">
      <c r="A27" s="529" t="s">
        <v>65</v>
      </c>
      <c r="B27" s="524"/>
      <c r="C27" s="524"/>
      <c r="D27" s="524"/>
      <c r="E27" s="525"/>
    </row>
    <row r="28" spans="1:14" x14ac:dyDescent="0.2">
      <c r="A28" s="526"/>
      <c r="B28" s="527"/>
      <c r="C28" s="527"/>
      <c r="D28" s="527"/>
      <c r="E28" s="528"/>
    </row>
    <row r="29" spans="1:14" x14ac:dyDescent="0.2">
      <c r="A29" s="405" t="s">
        <v>66</v>
      </c>
      <c r="B29" s="43">
        <v>25.08</v>
      </c>
      <c r="C29" s="188">
        <f t="shared" ref="C29:C32" si="1">ROUND(B29*$C$12,2)</f>
        <v>0.4</v>
      </c>
      <c r="D29" s="222">
        <f t="shared" ref="D29:D32" si="2">ROUND((B29+C29)*$D$12,2)</f>
        <v>0.41</v>
      </c>
      <c r="E29" s="40">
        <f>ROUND((B29+C29+D29)*$E$12,2)</f>
        <v>0.41</v>
      </c>
    </row>
    <row r="30" spans="1:14" x14ac:dyDescent="0.2">
      <c r="A30" s="416" t="s">
        <v>101</v>
      </c>
      <c r="B30" s="28">
        <v>40.65</v>
      </c>
      <c r="C30" s="251">
        <f t="shared" ref="C30" si="3">ROUND(B30*$C$12,2)</f>
        <v>0.65</v>
      </c>
      <c r="D30" s="223">
        <f t="shared" ref="D30" si="4">ROUND((B30+C30)*$D$12,2)</f>
        <v>0.66</v>
      </c>
      <c r="E30" s="7">
        <f>ROUND((B30+C30+D30)*$E$12,2)</f>
        <v>0.67</v>
      </c>
    </row>
    <row r="31" spans="1:14" x14ac:dyDescent="0.2">
      <c r="A31" s="506" t="s">
        <v>102</v>
      </c>
      <c r="B31" s="28"/>
      <c r="C31" s="251"/>
      <c r="D31" s="223"/>
      <c r="E31" s="7"/>
    </row>
    <row r="32" spans="1:14" ht="15" customHeight="1" x14ac:dyDescent="0.2">
      <c r="A32" s="416" t="s">
        <v>104</v>
      </c>
      <c r="B32" s="28">
        <v>49.43</v>
      </c>
      <c r="C32" s="251">
        <f t="shared" si="1"/>
        <v>0.79</v>
      </c>
      <c r="D32" s="223">
        <f t="shared" si="2"/>
        <v>0.8</v>
      </c>
      <c r="E32" s="7">
        <f>ROUND((B32+C32+D32)*$E$12,2)</f>
        <v>0.82</v>
      </c>
    </row>
    <row r="33" spans="1:5" x14ac:dyDescent="0.2">
      <c r="A33" s="507" t="s">
        <v>103</v>
      </c>
      <c r="B33" s="31"/>
      <c r="C33" s="195"/>
      <c r="D33" s="224"/>
      <c r="E33" s="33"/>
    </row>
    <row r="34" spans="1:5" x14ac:dyDescent="0.2">
      <c r="A34" s="508"/>
      <c r="B34" s="19"/>
      <c r="C34" s="19"/>
      <c r="D34" s="19"/>
      <c r="E34" s="71"/>
    </row>
    <row r="35" spans="1:5" ht="15.75" x14ac:dyDescent="0.25">
      <c r="A35" s="249" t="s">
        <v>67</v>
      </c>
      <c r="B35" s="43">
        <v>71.040000000000006</v>
      </c>
      <c r="C35" s="188"/>
      <c r="D35" s="222"/>
      <c r="E35" s="40"/>
    </row>
    <row r="36" spans="1:5" ht="15.75" x14ac:dyDescent="0.25">
      <c r="A36" s="250" t="s">
        <v>68</v>
      </c>
      <c r="B36" s="31">
        <v>5.47</v>
      </c>
      <c r="C36" s="251">
        <f>ROUND(B36*$C$12,2)</f>
        <v>0.09</v>
      </c>
      <c r="D36" s="223">
        <f>ROUND((B36+C36)*$D$12,2)</f>
        <v>0.09</v>
      </c>
      <c r="E36" s="7">
        <f>ROUND((B36+C36+D36)*$E$12,2)-0.01</f>
        <v>0.08</v>
      </c>
    </row>
    <row r="37" spans="1:5" x14ac:dyDescent="0.2">
      <c r="A37" s="523" t="s">
        <v>69</v>
      </c>
      <c r="B37" s="524"/>
      <c r="C37" s="524"/>
      <c r="D37" s="524"/>
      <c r="E37" s="525"/>
    </row>
    <row r="38" spans="1:5" x14ac:dyDescent="0.2">
      <c r="A38" s="526"/>
      <c r="B38" s="527"/>
      <c r="C38" s="527"/>
      <c r="D38" s="527"/>
      <c r="E38" s="528"/>
    </row>
    <row r="39" spans="1:5" x14ac:dyDescent="0.2">
      <c r="A39" s="405" t="s">
        <v>70</v>
      </c>
      <c r="B39" s="92">
        <v>5000</v>
      </c>
      <c r="C39" s="355"/>
      <c r="D39" s="353"/>
      <c r="E39" s="94"/>
    </row>
    <row r="40" spans="1:5" x14ac:dyDescent="0.2">
      <c r="A40" s="403" t="s">
        <v>71</v>
      </c>
      <c r="B40" s="363">
        <v>10000</v>
      </c>
      <c r="C40" s="365"/>
      <c r="D40" s="383"/>
      <c r="E40" s="96"/>
    </row>
    <row r="41" spans="1:5" x14ac:dyDescent="0.2">
      <c r="A41" s="404" t="s">
        <v>72</v>
      </c>
      <c r="B41" s="46">
        <v>15000</v>
      </c>
      <c r="C41" s="356"/>
      <c r="D41" s="354"/>
      <c r="E41" s="48"/>
    </row>
    <row r="42" spans="1:5" x14ac:dyDescent="0.2">
      <c r="A42" s="534"/>
      <c r="B42" s="531"/>
      <c r="C42" s="531"/>
      <c r="D42" s="531"/>
      <c r="E42" s="532"/>
    </row>
    <row r="43" spans="1:5" ht="15.75" x14ac:dyDescent="0.25">
      <c r="A43" s="388" t="s">
        <v>73</v>
      </c>
      <c r="B43" s="389">
        <v>6.7500000000000004E-2</v>
      </c>
      <c r="C43" s="390"/>
      <c r="D43" s="391"/>
      <c r="E43" s="385"/>
    </row>
    <row r="44" spans="1:5" ht="15.75" x14ac:dyDescent="0.25">
      <c r="A44" s="396" t="s">
        <v>74</v>
      </c>
      <c r="B44" s="360">
        <v>0.03</v>
      </c>
      <c r="C44" s="359">
        <v>0.01</v>
      </c>
      <c r="D44" s="398">
        <v>0.01</v>
      </c>
      <c r="E44" s="358">
        <v>0.01</v>
      </c>
    </row>
    <row r="45" spans="1:5" x14ac:dyDescent="0.2">
      <c r="A45" s="529" t="s">
        <v>75</v>
      </c>
      <c r="B45" s="524"/>
      <c r="C45" s="524"/>
      <c r="D45" s="524"/>
      <c r="E45" s="525"/>
    </row>
    <row r="46" spans="1:5" x14ac:dyDescent="0.2">
      <c r="A46" s="526"/>
      <c r="B46" s="527"/>
      <c r="C46" s="527"/>
      <c r="D46" s="527"/>
      <c r="E46" s="528"/>
    </row>
    <row r="47" spans="1:5" x14ac:dyDescent="0.2">
      <c r="A47" s="406" t="s">
        <v>90</v>
      </c>
      <c r="B47" s="83">
        <v>0.08</v>
      </c>
      <c r="C47" s="82"/>
      <c r="D47" s="384"/>
      <c r="E47" s="81"/>
    </row>
    <row r="48" spans="1:5" x14ac:dyDescent="0.2">
      <c r="A48" s="408" t="s">
        <v>94</v>
      </c>
      <c r="B48" s="84">
        <f>B47/2</f>
        <v>0.04</v>
      </c>
      <c r="C48" s="85"/>
      <c r="D48" s="236"/>
      <c r="E48" s="87"/>
    </row>
    <row r="49" spans="1:5" ht="15.75" x14ac:dyDescent="0.25">
      <c r="A49" s="8" t="s">
        <v>76</v>
      </c>
      <c r="B49" s="32">
        <f>SUM(B47:B48)</f>
        <v>0.12</v>
      </c>
      <c r="C49" s="394">
        <f t="shared" ref="C49:D49" si="5">SUM(C47:C48)</f>
        <v>0</v>
      </c>
      <c r="D49" s="89">
        <f t="shared" si="5"/>
        <v>0</v>
      </c>
      <c r="E49" s="90">
        <f>SUM(E47:E48)</f>
        <v>0</v>
      </c>
    </row>
    <row r="51" spans="1:5" x14ac:dyDescent="0.2">
      <c r="A51" s="50"/>
      <c r="B51" s="50"/>
    </row>
  </sheetData>
  <sheetProtection algorithmName="SHA-512" hashValue="rNjuMtwYI+YrGd4Os8zGhP79GzkZthUBznMtopFlMcaJK2ZnffVLMIcs18uaUY3PGjDWa/oL7jMVRqsdZUePRQ==" saltValue="7YrymibZfC73PS9fLC7sTw==" spinCount="100000" sheet="1" objects="1" scenarios="1"/>
  <mergeCells count="9">
    <mergeCell ref="A37:E38"/>
    <mergeCell ref="A45:E46"/>
    <mergeCell ref="A6:E6"/>
    <mergeCell ref="A11:E11"/>
    <mergeCell ref="A13:E14"/>
    <mergeCell ref="A18:E19"/>
    <mergeCell ref="A22:E23"/>
    <mergeCell ref="A27:E28"/>
    <mergeCell ref="A42:E42"/>
  </mergeCells>
  <phoneticPr fontId="0" type="noConversion"/>
  <pageMargins left="0.78740157480314965" right="0.78740157480314965" top="1.3779527559055118" bottom="0.59055118110236227" header="0.59055118110236227" footer="0.39370078740157483"/>
  <pageSetup paperSize="9" orientation="portrait" r:id="rId1"/>
  <headerFooter alignWithMargins="0">
    <oddHeader>&amp;L&amp;"Arial,Fed"&amp;16 3F&amp;C&amp;"Arial,Fed"&amp;16Vaskerioverenskomst 2017-2020
&amp;A&amp;R&amp;"Arial,Fed"&amp;16DIO II (ADV)</oddHeader>
    <oddFooter>&amp;L&amp;9&amp;F&amp;R&amp;9&amp;D, kl. &amp;T</oddFoot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workbookViewId="0">
      <selection sqref="A1:I1"/>
    </sheetView>
  </sheetViews>
  <sheetFormatPr defaultRowHeight="12.75" x14ac:dyDescent="0.2"/>
  <cols>
    <col min="1" max="1" width="17.7109375" customWidth="1"/>
    <col min="2" max="2" width="9.42578125" customWidth="1"/>
    <col min="3" max="3" width="19.140625" customWidth="1"/>
    <col min="4" max="6" width="10.7109375" customWidth="1"/>
    <col min="7" max="7" width="10.140625" bestFit="1" customWidth="1"/>
  </cols>
  <sheetData>
    <row r="1" spans="1:7" ht="15.75" x14ac:dyDescent="0.25">
      <c r="A1" s="538" t="s">
        <v>32</v>
      </c>
      <c r="B1" s="539"/>
      <c r="C1" s="540"/>
      <c r="D1" s="178" t="str">
        <f>Stigninger!C1</f>
        <v>1. marts</v>
      </c>
      <c r="E1" s="179" t="str">
        <f>Stigninger!D1</f>
        <v>1. marts</v>
      </c>
      <c r="F1" s="180" t="str">
        <f>Stigninger!E1</f>
        <v>1. marts</v>
      </c>
      <c r="G1" s="181"/>
    </row>
    <row r="2" spans="1:7" ht="15.75" x14ac:dyDescent="0.25">
      <c r="A2" s="535" t="s">
        <v>33</v>
      </c>
      <c r="B2" s="536"/>
      <c r="C2" s="537"/>
      <c r="D2" s="182">
        <f>Stigninger!C2</f>
        <v>2020</v>
      </c>
      <c r="E2" s="183">
        <f>Stigninger!D2</f>
        <v>2021</v>
      </c>
      <c r="F2" s="184">
        <f>Stigninger!E2</f>
        <v>2022</v>
      </c>
      <c r="G2" s="73" t="s">
        <v>21</v>
      </c>
    </row>
    <row r="3" spans="1:7" ht="15" x14ac:dyDescent="0.2">
      <c r="A3" s="185" t="str">
        <f>Stigninger!A3</f>
        <v>Timeløn for voksne</v>
      </c>
      <c r="B3" s="186"/>
      <c r="C3" s="187"/>
      <c r="D3" s="188">
        <f>Stigninger!C3</f>
        <v>3.2</v>
      </c>
      <c r="E3" s="39">
        <f>Stigninger!D3</f>
        <v>3.2</v>
      </c>
      <c r="F3" s="40">
        <f>Stigninger!E3</f>
        <v>3.15</v>
      </c>
      <c r="G3" s="5"/>
    </row>
    <row r="4" spans="1:7" ht="15" x14ac:dyDescent="0.2">
      <c r="A4" s="189" t="str">
        <f>Stigninger!A7</f>
        <v>Vaskeritillæg</v>
      </c>
      <c r="B4" s="190"/>
      <c r="C4" s="191"/>
      <c r="D4" s="195">
        <f>Stigninger!C7</f>
        <v>0</v>
      </c>
      <c r="E4" s="11">
        <f>Stigninger!D7</f>
        <v>0</v>
      </c>
      <c r="F4" s="33">
        <f>Stigninger!E7</f>
        <v>0</v>
      </c>
      <c r="G4" s="5"/>
    </row>
    <row r="5" spans="1:7" ht="15.75" x14ac:dyDescent="0.25">
      <c r="A5" s="24" t="s">
        <v>22</v>
      </c>
      <c r="B5" s="186"/>
      <c r="C5" s="187"/>
      <c r="D5" s="188">
        <f>SUM(D3:D4)</f>
        <v>3.2</v>
      </c>
      <c r="E5" s="39">
        <f>SUM(E3:E4)</f>
        <v>3.2</v>
      </c>
      <c r="F5" s="40">
        <f>SUM(F3:F4)</f>
        <v>3.15</v>
      </c>
      <c r="G5" s="30">
        <f>SUM(D5:F5)</f>
        <v>9.5500000000000007</v>
      </c>
    </row>
    <row r="6" spans="1:7" ht="15" x14ac:dyDescent="0.2">
      <c r="A6" s="192" t="s">
        <v>43</v>
      </c>
      <c r="B6" s="193"/>
      <c r="C6" s="194"/>
      <c r="D6" s="195">
        <f>Stigninger!C8</f>
        <v>0</v>
      </c>
      <c r="E6" s="11">
        <f>Stigninger!D8</f>
        <v>0</v>
      </c>
      <c r="F6" s="33">
        <f>Stigninger!E8</f>
        <v>0</v>
      </c>
      <c r="G6" s="5"/>
    </row>
    <row r="7" spans="1:7" ht="15.75" x14ac:dyDescent="0.25">
      <c r="A7" s="196" t="str">
        <f>A5</f>
        <v>I alt:</v>
      </c>
      <c r="B7" s="197"/>
      <c r="C7" s="198"/>
      <c r="D7" s="188">
        <f>SUM(D5:D6)</f>
        <v>3.2</v>
      </c>
      <c r="E7" s="39">
        <f>SUM(E5:E6)</f>
        <v>3.2</v>
      </c>
      <c r="F7" s="40">
        <f>SUM(F5:F6)</f>
        <v>3.15</v>
      </c>
      <c r="G7" s="5"/>
    </row>
    <row r="8" spans="1:7" ht="15" x14ac:dyDescent="0.2">
      <c r="A8" s="199" t="s">
        <v>23</v>
      </c>
      <c r="B8" s="541" t="s">
        <v>24</v>
      </c>
      <c r="C8" s="542"/>
      <c r="D8" s="200">
        <v>0</v>
      </c>
      <c r="E8" s="47">
        <v>0</v>
      </c>
      <c r="F8" s="48">
        <v>0</v>
      </c>
      <c r="G8" s="5"/>
    </row>
    <row r="9" spans="1:7" ht="15.75" x14ac:dyDescent="0.25">
      <c r="A9" s="8" t="s">
        <v>25</v>
      </c>
      <c r="B9" s="340"/>
      <c r="C9" s="239"/>
      <c r="D9" s="45">
        <f>SUM(D7:D8)</f>
        <v>3.2</v>
      </c>
      <c r="E9" s="15">
        <f>SUM(E7:E8)</f>
        <v>3.2</v>
      </c>
      <c r="F9" s="23">
        <f>SUM(F7:F8)</f>
        <v>3.15</v>
      </c>
      <c r="G9" s="30">
        <f>SUM(D9:F9)</f>
        <v>9.5500000000000007</v>
      </c>
    </row>
    <row r="10" spans="1:7" ht="15.75" x14ac:dyDescent="0.25">
      <c r="A10" s="97"/>
      <c r="B10" s="114"/>
      <c r="C10" s="50"/>
      <c r="D10" s="37"/>
      <c r="E10" s="37"/>
      <c r="F10" s="37"/>
      <c r="G10" s="37"/>
    </row>
    <row r="11" spans="1:7" ht="15.75" x14ac:dyDescent="0.25">
      <c r="A11" s="345" t="s">
        <v>38</v>
      </c>
      <c r="B11" s="346"/>
      <c r="C11" s="230"/>
      <c r="D11" s="343">
        <f>D9*37</f>
        <v>118.4</v>
      </c>
      <c r="E11" s="341">
        <f>E9*37</f>
        <v>118.4</v>
      </c>
      <c r="F11" s="349">
        <f>F9*37</f>
        <v>116.55</v>
      </c>
      <c r="G11" s="351">
        <f>SUM(D11:F11)</f>
        <v>353.35</v>
      </c>
    </row>
    <row r="12" spans="1:7" ht="15.75" x14ac:dyDescent="0.25">
      <c r="A12" s="347" t="s">
        <v>39</v>
      </c>
      <c r="B12" s="194"/>
      <c r="C12" s="348"/>
      <c r="D12" s="344">
        <f>D9*160.33</f>
        <v>513.05600000000004</v>
      </c>
      <c r="E12" s="342">
        <f>E9*160.33</f>
        <v>513.05600000000004</v>
      </c>
      <c r="F12" s="350">
        <f>F9*160.33</f>
        <v>505.03950000000003</v>
      </c>
      <c r="G12" s="352">
        <f>SUM(D12:F12)</f>
        <v>1531.1515000000002</v>
      </c>
    </row>
    <row r="13" spans="1:7" ht="15.75" x14ac:dyDescent="0.25">
      <c r="A13" s="169"/>
      <c r="B13" s="50"/>
      <c r="C13" s="50"/>
      <c r="D13" s="255"/>
      <c r="E13" s="255"/>
      <c r="F13" s="255"/>
      <c r="G13" s="255"/>
    </row>
    <row r="14" spans="1:7" ht="15" x14ac:dyDescent="0.2">
      <c r="A14" s="126" t="s">
        <v>26</v>
      </c>
      <c r="B14" s="201">
        <v>6.7500000000000004E-2</v>
      </c>
      <c r="C14" s="202"/>
      <c r="D14" s="203">
        <f>$B14*D9</f>
        <v>0.21600000000000003</v>
      </c>
      <c r="E14" s="93">
        <f>$B14*E9</f>
        <v>0.21600000000000003</v>
      </c>
      <c r="F14" s="94">
        <f>$B14*F9</f>
        <v>0.21262500000000001</v>
      </c>
      <c r="G14" s="16"/>
    </row>
    <row r="15" spans="1:7" ht="15" x14ac:dyDescent="0.2">
      <c r="A15" s="199" t="s">
        <v>1</v>
      </c>
      <c r="B15" s="204">
        <v>0.125</v>
      </c>
      <c r="C15" s="205"/>
      <c r="D15" s="200">
        <f>$B15*D9</f>
        <v>0.4</v>
      </c>
      <c r="E15" s="47">
        <f>$B15*E9</f>
        <v>0.4</v>
      </c>
      <c r="F15" s="48">
        <f>$B15*F9</f>
        <v>0.39374999999999999</v>
      </c>
      <c r="G15" s="5"/>
    </row>
    <row r="16" spans="1:7" ht="15" x14ac:dyDescent="0.2">
      <c r="A16" s="126" t="s">
        <v>14</v>
      </c>
      <c r="B16" s="206"/>
      <c r="C16" s="202"/>
      <c r="D16" s="203">
        <f>D9+D14+D15</f>
        <v>3.8160000000000003</v>
      </c>
      <c r="E16" s="93">
        <f>E9+E14+E15</f>
        <v>3.8160000000000003</v>
      </c>
      <c r="F16" s="94">
        <f>F9+F14+F15</f>
        <v>3.7563749999999998</v>
      </c>
      <c r="G16" s="207">
        <f>SUM(D16:F16)</f>
        <v>11.388375</v>
      </c>
    </row>
    <row r="17" spans="1:7" ht="15" x14ac:dyDescent="0.2">
      <c r="A17" s="4" t="s">
        <v>15</v>
      </c>
      <c r="B17" s="208"/>
      <c r="C17" s="209"/>
      <c r="D17" s="210">
        <f>D16*Resultat!C49</f>
        <v>0.30528000000000005</v>
      </c>
      <c r="E17" s="95">
        <f>E16*Resultat!D49</f>
        <v>0.30528000000000005</v>
      </c>
      <c r="F17" s="96">
        <f>F16*Resultat!E49</f>
        <v>0.30051</v>
      </c>
      <c r="G17" s="5"/>
    </row>
    <row r="18" spans="1:7" ht="15" x14ac:dyDescent="0.2">
      <c r="A18" s="199" t="s">
        <v>27</v>
      </c>
      <c r="B18" s="211"/>
      <c r="C18" s="205"/>
      <c r="D18" s="200" t="e">
        <f>(Resultat!C3+Resultat!#REF!+Resultat!#REF!)*Stigninger!C47</f>
        <v>#REF!</v>
      </c>
      <c r="E18" s="47" t="e">
        <f>(Resultat!D3+Resultat!#REF!+Resultat!#REF!)*Stigninger!D47</f>
        <v>#REF!</v>
      </c>
      <c r="F18" s="48" t="e">
        <f>(Resultat!E3+Resultat!#REF!+Resultat!#REF!)*Stigninger!E47</f>
        <v>#REF!</v>
      </c>
      <c r="G18" s="5"/>
    </row>
    <row r="19" spans="1:7" ht="15.75" x14ac:dyDescent="0.25">
      <c r="A19" s="69" t="s">
        <v>28</v>
      </c>
      <c r="B19" s="212"/>
      <c r="C19" s="213"/>
      <c r="D19" s="214" t="e">
        <f>SUM(D16:D18)</f>
        <v>#REF!</v>
      </c>
      <c r="E19" s="214" t="e">
        <f>SUM(E16:E18)</f>
        <v>#REF!</v>
      </c>
      <c r="F19" s="112" t="e">
        <f>SUM(F16:F18)</f>
        <v>#REF!</v>
      </c>
      <c r="G19" s="207" t="e">
        <f>SUM(D19:F19)</f>
        <v>#REF!</v>
      </c>
    </row>
    <row r="20" spans="1:7" ht="15.75" x14ac:dyDescent="0.25">
      <c r="A20" s="215"/>
      <c r="B20" s="216"/>
      <c r="C20" s="217"/>
      <c r="D20" s="217"/>
      <c r="E20" s="217"/>
      <c r="F20" s="217"/>
      <c r="G20" s="217"/>
    </row>
    <row r="21" spans="1:7" ht="15.75" x14ac:dyDescent="0.25">
      <c r="A21" s="345" t="s">
        <v>40</v>
      </c>
      <c r="B21" s="206"/>
      <c r="C21" s="202"/>
      <c r="D21" s="355" t="e">
        <f>D19*37</f>
        <v>#REF!</v>
      </c>
      <c r="E21" s="93" t="e">
        <f>E19*37</f>
        <v>#REF!</v>
      </c>
      <c r="F21" s="353" t="e">
        <f>F19*37</f>
        <v>#REF!</v>
      </c>
      <c r="G21" s="92" t="e">
        <f>SUM(D21:F21)</f>
        <v>#REF!</v>
      </c>
    </row>
    <row r="22" spans="1:7" ht="15.75" x14ac:dyDescent="0.25">
      <c r="A22" s="347" t="s">
        <v>41</v>
      </c>
      <c r="B22" s="194"/>
      <c r="C22" s="348"/>
      <c r="D22" s="356" t="e">
        <f>D19*160.33</f>
        <v>#REF!</v>
      </c>
      <c r="E22" s="47" t="e">
        <f>E19*160.33</f>
        <v>#REF!</v>
      </c>
      <c r="F22" s="354" t="e">
        <f>F19*160.33</f>
        <v>#REF!</v>
      </c>
      <c r="G22" s="46" t="e">
        <f>SUM(D22:F22)</f>
        <v>#REF!</v>
      </c>
    </row>
    <row r="23" spans="1:7" ht="15.75" x14ac:dyDescent="0.25">
      <c r="A23" s="215"/>
      <c r="B23" s="216"/>
      <c r="C23" s="217"/>
      <c r="D23" s="217"/>
      <c r="E23" s="217"/>
      <c r="F23" s="217"/>
      <c r="G23" s="217"/>
    </row>
    <row r="24" spans="1:7" ht="15.75" x14ac:dyDescent="0.25">
      <c r="A24" s="215"/>
      <c r="B24" s="216"/>
      <c r="C24" s="217"/>
      <c r="D24" s="217"/>
      <c r="E24" s="217"/>
      <c r="F24" s="217"/>
      <c r="G24" s="217"/>
    </row>
    <row r="25" spans="1:7" ht="15.75" x14ac:dyDescent="0.25">
      <c r="A25" s="13" t="str">
        <f>Stigninger!A9</f>
        <v>Kursustillæg</v>
      </c>
      <c r="B25" s="219"/>
      <c r="C25" s="248"/>
      <c r="D25" s="110">
        <f>Stigninger!C9</f>
        <v>0</v>
      </c>
      <c r="E25" s="111">
        <f>Stigninger!D9</f>
        <v>0</v>
      </c>
      <c r="F25" s="220">
        <f>Stigninger!E9</f>
        <v>0</v>
      </c>
      <c r="G25" s="207">
        <f>SUM(D25:F25)</f>
        <v>0</v>
      </c>
    </row>
    <row r="26" spans="1:7" ht="15.75" x14ac:dyDescent="0.25">
      <c r="A26" s="13" t="str">
        <f>Stigninger!A10</f>
        <v>Mentortillæg</v>
      </c>
      <c r="B26" s="219"/>
      <c r="C26" s="248"/>
      <c r="D26" s="110">
        <f>Stigninger!C10</f>
        <v>0</v>
      </c>
      <c r="E26" s="111">
        <f>Stigninger!D10</f>
        <v>0</v>
      </c>
      <c r="F26" s="220">
        <f>Stigninger!E10</f>
        <v>0</v>
      </c>
      <c r="G26" s="207">
        <f>SUM(D26:F26)</f>
        <v>0</v>
      </c>
    </row>
    <row r="27" spans="1:7" ht="15.75" x14ac:dyDescent="0.25">
      <c r="A27" s="215"/>
      <c r="B27" s="216"/>
      <c r="C27" s="217"/>
      <c r="D27" s="217"/>
      <c r="E27" s="217"/>
      <c r="F27" s="217"/>
      <c r="G27" s="217"/>
    </row>
    <row r="28" spans="1:7" ht="15.75" x14ac:dyDescent="0.25">
      <c r="A28" s="97" t="str">
        <f>Stigninger!A13</f>
        <v>Overarbejdstillæg</v>
      </c>
      <c r="B28" s="50"/>
      <c r="C28" s="50"/>
      <c r="D28" s="50"/>
      <c r="E28" s="50"/>
      <c r="F28" s="221"/>
      <c r="G28" s="50"/>
    </row>
    <row r="29" spans="1:7" ht="15" x14ac:dyDescent="0.2">
      <c r="A29" s="91" t="e">
        <f>Stigninger!#REF!</f>
        <v>#REF!</v>
      </c>
      <c r="B29" s="245"/>
      <c r="C29" s="230"/>
      <c r="D29" s="42" t="e">
        <f>Stigninger!#REF!</f>
        <v>#REF!</v>
      </c>
      <c r="E29" s="39" t="e">
        <f>Stigninger!#REF!</f>
        <v>#REF!</v>
      </c>
      <c r="F29" s="222" t="e">
        <f>Stigninger!#REF!</f>
        <v>#REF!</v>
      </c>
      <c r="G29" s="43" t="e">
        <f>SUM(D29:F29)</f>
        <v>#REF!</v>
      </c>
    </row>
    <row r="30" spans="1:7" ht="15" x14ac:dyDescent="0.2">
      <c r="A30" s="9" t="str">
        <f>Stigninger!A16</f>
        <v>2. til 4. time efter normalarbejdstid</v>
      </c>
      <c r="B30" s="246"/>
      <c r="C30" s="231"/>
      <c r="D30" s="10">
        <f>Stigninger!C16</f>
        <v>0.92</v>
      </c>
      <c r="E30" s="6">
        <f>Stigninger!D16</f>
        <v>0.93</v>
      </c>
      <c r="F30" s="223">
        <f>Stigninger!E16</f>
        <v>0.95</v>
      </c>
      <c r="G30" s="28">
        <f>SUM(D30:F30)</f>
        <v>2.8</v>
      </c>
    </row>
    <row r="31" spans="1:7" ht="15" x14ac:dyDescent="0.2">
      <c r="A31" s="9" t="e">
        <f>Stigninger!#REF!</f>
        <v>#REF!</v>
      </c>
      <c r="B31" s="246"/>
      <c r="C31" s="231"/>
      <c r="D31" s="10" t="e">
        <f>Stigninger!#REF!</f>
        <v>#REF!</v>
      </c>
      <c r="E31" s="6" t="e">
        <f>Stigninger!#REF!</f>
        <v>#REF!</v>
      </c>
      <c r="F31" s="223" t="e">
        <f>Stigninger!#REF!</f>
        <v>#REF!</v>
      </c>
      <c r="G31" s="28" t="e">
        <f>SUM(D31:F31)</f>
        <v>#REF!</v>
      </c>
    </row>
    <row r="32" spans="1:7" ht="15" x14ac:dyDescent="0.2">
      <c r="A32" s="9" t="e">
        <f>Stigninger!#REF!</f>
        <v>#REF!</v>
      </c>
      <c r="B32" s="246"/>
      <c r="C32" s="231"/>
      <c r="D32" s="10" t="e">
        <f>Stigninger!#REF!</f>
        <v>#REF!</v>
      </c>
      <c r="E32" s="6" t="e">
        <f>Stigninger!#REF!</f>
        <v>#REF!</v>
      </c>
      <c r="F32" s="223" t="e">
        <f>Stigninger!#REF!</f>
        <v>#REF!</v>
      </c>
      <c r="G32" s="28" t="e">
        <f>SUM(D32:F32)</f>
        <v>#REF!</v>
      </c>
    </row>
    <row r="33" spans="1:7" ht="15" x14ac:dyDescent="0.2">
      <c r="A33" s="252" t="str">
        <f>Stigninger!A17</f>
        <v>5. time efter normalarbejdstid og derefter og søn- og helligdage efter kl. 12.00 og ved arbejde før normal arbejdstid i tidsrummet kl. 06.00-19.00</v>
      </c>
      <c r="B33" s="247"/>
      <c r="C33" s="232"/>
      <c r="D33" s="12">
        <f>Stigninger!C17</f>
        <v>1.72</v>
      </c>
      <c r="E33" s="11">
        <f>Stigninger!D17</f>
        <v>1.75</v>
      </c>
      <c r="F33" s="224">
        <f>Stigninger!E17</f>
        <v>1.77</v>
      </c>
      <c r="G33" s="31">
        <f>SUM(D33:F33)</f>
        <v>5.24</v>
      </c>
    </row>
    <row r="34" spans="1:7" ht="15" x14ac:dyDescent="0.2">
      <c r="A34" s="59"/>
      <c r="B34" s="59"/>
      <c r="C34" s="241"/>
      <c r="D34" s="60"/>
      <c r="E34" s="60"/>
      <c r="F34" s="60"/>
      <c r="G34" s="59"/>
    </row>
    <row r="35" spans="1:7" ht="15.75" x14ac:dyDescent="0.25">
      <c r="A35" s="242" t="str">
        <f>Stigninger!A27</f>
        <v>Forskudttidstillæg</v>
      </c>
      <c r="B35" s="62"/>
      <c r="C35" s="243"/>
      <c r="D35" s="62"/>
      <c r="E35" s="62"/>
      <c r="F35" s="62"/>
      <c r="G35" s="62"/>
    </row>
    <row r="36" spans="1:7" ht="15" x14ac:dyDescent="0.2">
      <c r="A36" s="91" t="str">
        <f>Stigninger!A29</f>
        <v>Kl. 19.00 til kl. 22.00</v>
      </c>
      <c r="B36" s="245"/>
      <c r="C36" s="230"/>
      <c r="D36" s="42">
        <f>Stigninger!C29</f>
        <v>0.4</v>
      </c>
      <c r="E36" s="42">
        <f>Stigninger!D29</f>
        <v>0.41</v>
      </c>
      <c r="F36" s="42">
        <f>Stigninger!E29</f>
        <v>0.41</v>
      </c>
      <c r="G36" s="43">
        <f>SUM(D36:F36)</f>
        <v>1.22</v>
      </c>
    </row>
    <row r="37" spans="1:7" ht="15" x14ac:dyDescent="0.2">
      <c r="A37" s="252" t="e">
        <f>Stigninger!#REF!</f>
        <v>#REF!</v>
      </c>
      <c r="B37" s="247"/>
      <c r="C37" s="232"/>
      <c r="D37" s="12" t="e">
        <f>Stigninger!#REF!</f>
        <v>#REF!</v>
      </c>
      <c r="E37" s="12" t="e">
        <f>Stigninger!#REF!</f>
        <v>#REF!</v>
      </c>
      <c r="F37" s="12" t="e">
        <f>Stigninger!#REF!</f>
        <v>#REF!</v>
      </c>
      <c r="G37" s="31" t="e">
        <f>SUM(D37:F37)</f>
        <v>#REF!</v>
      </c>
    </row>
    <row r="38" spans="1:7" ht="15.75" x14ac:dyDescent="0.25">
      <c r="A38" s="244"/>
      <c r="B38" s="19"/>
      <c r="C38" s="226"/>
      <c r="D38" s="19"/>
      <c r="E38" s="19"/>
      <c r="F38" s="19"/>
      <c r="G38" s="19"/>
    </row>
    <row r="39" spans="1:7" ht="15.75" x14ac:dyDescent="0.25">
      <c r="A39" s="253" t="str">
        <f>Stigninger!A35</f>
        <v>Varslingstilllæg</v>
      </c>
      <c r="B39" s="245"/>
      <c r="C39" s="230"/>
      <c r="D39" s="42">
        <f>Stigninger!C35</f>
        <v>0</v>
      </c>
      <c r="E39" s="39">
        <f>Stigninger!D35</f>
        <v>0</v>
      </c>
      <c r="F39" s="222">
        <f>Stigninger!E35</f>
        <v>0</v>
      </c>
      <c r="G39" s="43">
        <f>SUM(D39:F39)</f>
        <v>0</v>
      </c>
    </row>
    <row r="40" spans="1:7" ht="15.75" x14ac:dyDescent="0.25">
      <c r="A40" s="41" t="str">
        <f>Stigninger!A36</f>
        <v>Smudstillæg</v>
      </c>
      <c r="B40" s="247"/>
      <c r="C40" s="232"/>
      <c r="D40" s="12">
        <f>Stigninger!C36</f>
        <v>0.09</v>
      </c>
      <c r="E40" s="11">
        <f>Stigninger!D36</f>
        <v>0.09</v>
      </c>
      <c r="F40" s="224">
        <f>Stigninger!E36</f>
        <v>0.08</v>
      </c>
      <c r="G40" s="31">
        <f>SUM(D40:F40)</f>
        <v>0.26</v>
      </c>
    </row>
    <row r="41" spans="1:7" ht="15" x14ac:dyDescent="0.2">
      <c r="A41" s="218"/>
      <c r="B41" s="218"/>
      <c r="C41" s="226"/>
      <c r="D41" s="218"/>
      <c r="E41" s="218"/>
      <c r="F41" s="218"/>
      <c r="G41" s="218"/>
    </row>
    <row r="42" spans="1:7" ht="15.75" x14ac:dyDescent="0.25">
      <c r="A42" s="8" t="s">
        <v>0</v>
      </c>
      <c r="B42" s="218"/>
      <c r="C42" s="225"/>
      <c r="D42" s="129">
        <f>Stigninger!C46</f>
        <v>0</v>
      </c>
      <c r="E42" s="295" t="s">
        <v>29</v>
      </c>
      <c r="F42" s="130" t="s">
        <v>30</v>
      </c>
      <c r="G42" s="254" t="str">
        <f>G2</f>
        <v xml:space="preserve">I alt </v>
      </c>
    </row>
    <row r="43" spans="1:7" ht="15" x14ac:dyDescent="0.2">
      <c r="A43" s="91" t="s">
        <v>6</v>
      </c>
      <c r="B43" s="229"/>
      <c r="C43" s="230"/>
      <c r="D43" s="228">
        <v>0</v>
      </c>
      <c r="E43" s="227">
        <v>4.0000000000000001E-3</v>
      </c>
      <c r="F43" s="233">
        <v>4.0000000000000001E-3</v>
      </c>
      <c r="G43" s="83">
        <f>SUM(D43:F43)</f>
        <v>8.0000000000000002E-3</v>
      </c>
    </row>
    <row r="44" spans="1:7" ht="15" x14ac:dyDescent="0.2">
      <c r="A44" s="20" t="s">
        <v>4</v>
      </c>
      <c r="B44" s="234"/>
      <c r="C44" s="235"/>
      <c r="D44" s="85">
        <f>D43/2</f>
        <v>0</v>
      </c>
      <c r="E44" s="86">
        <f>E43/2</f>
        <v>2E-3</v>
      </c>
      <c r="F44" s="236">
        <f>F43/2</f>
        <v>2E-3</v>
      </c>
      <c r="G44" s="240">
        <f>SUM(D44:F44)</f>
        <v>4.0000000000000001E-3</v>
      </c>
    </row>
    <row r="45" spans="1:7" ht="15.75" x14ac:dyDescent="0.25">
      <c r="A45" s="8" t="s">
        <v>5</v>
      </c>
      <c r="B45" s="237"/>
      <c r="C45" s="225"/>
      <c r="D45" s="88">
        <f>SUM(D43:D44)</f>
        <v>0</v>
      </c>
      <c r="E45" s="89">
        <f>SUM(E43:E44)</f>
        <v>6.0000000000000001E-3</v>
      </c>
      <c r="F45" s="238">
        <f>SUM(F43:F44)</f>
        <v>6.0000000000000001E-3</v>
      </c>
      <c r="G45" s="32">
        <f>SUM(D45:F45)</f>
        <v>1.2E-2</v>
      </c>
    </row>
  </sheetData>
  <mergeCells count="3">
    <mergeCell ref="A2:C2"/>
    <mergeCell ref="A1:C1"/>
    <mergeCell ref="B8:C8"/>
  </mergeCells>
  <phoneticPr fontId="8" type="noConversion"/>
  <printOptions horizontalCentered="1"/>
  <pageMargins left="0.39370078740157483" right="0.39370078740157483" top="1.3779527559055118" bottom="0.59055118110236227" header="0.59055118110236227" footer="0.39370078740157483"/>
  <pageSetup paperSize="9" orientation="portrait" horizontalDpi="4294967293" r:id="rId1"/>
  <headerFooter alignWithMargins="0">
    <oddHeader>&amp;L&amp;"Arial,Fed"&amp;16 3F&amp;C&amp;"Arial,Fed"&amp;16Vaskerioverenskomsten 2007-2010
&amp;A for vaskeriarbejdere&amp;R&amp;"Arial,Fed"&amp;16HTS</oddHeader>
    <oddFooter>&amp;L&amp;9&amp;F&amp;R&amp;9&amp;D, kl.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workbookViewId="0">
      <selection activeCell="A2" sqref="A2"/>
    </sheetView>
  </sheetViews>
  <sheetFormatPr defaultRowHeight="15" x14ac:dyDescent="0.2"/>
  <cols>
    <col min="1" max="1" width="28.7109375" style="1" customWidth="1"/>
    <col min="2" max="2" width="7.7109375" style="34" customWidth="1"/>
    <col min="3" max="6" width="10.7109375" style="1" customWidth="1"/>
    <col min="7" max="7" width="7.7109375" style="2" customWidth="1"/>
    <col min="8" max="8" width="11.5703125" style="1" bestFit="1" customWidth="1"/>
    <col min="9" max="16384" width="9.140625" style="1"/>
  </cols>
  <sheetData>
    <row r="1" spans="1:15" ht="15.75" x14ac:dyDescent="0.25">
      <c r="A1" s="16"/>
      <c r="B1" s="98" t="s">
        <v>7</v>
      </c>
      <c r="C1" s="77" t="str">
        <f>Stigninger!B1</f>
        <v>Udgangs-</v>
      </c>
      <c r="D1" s="144" t="str">
        <f>Stigninger!C1</f>
        <v>1. marts</v>
      </c>
      <c r="E1" s="79" t="str">
        <f>Stigninger!D1</f>
        <v>1. marts</v>
      </c>
      <c r="F1" s="80" t="str">
        <f>Stigninger!E1</f>
        <v>1. marts</v>
      </c>
      <c r="G1" s="123" t="s">
        <v>9</v>
      </c>
    </row>
    <row r="2" spans="1:15" ht="15.75" x14ac:dyDescent="0.25">
      <c r="A2" s="56"/>
      <c r="B2" s="99" t="s">
        <v>8</v>
      </c>
      <c r="C2" s="73" t="str">
        <f>Stigninger!B2</f>
        <v>punkt</v>
      </c>
      <c r="D2" s="145">
        <f>Stigninger!C2</f>
        <v>2020</v>
      </c>
      <c r="E2" s="75">
        <f>Stigninger!D2</f>
        <v>2021</v>
      </c>
      <c r="F2" s="76">
        <f>Stigninger!E2</f>
        <v>2022</v>
      </c>
      <c r="G2" s="125" t="s">
        <v>10</v>
      </c>
      <c r="H2" s="49"/>
      <c r="I2" s="49"/>
      <c r="J2" s="49"/>
      <c r="K2" s="50"/>
      <c r="L2" s="50"/>
      <c r="M2" s="50"/>
      <c r="N2" s="50"/>
      <c r="O2" s="50"/>
    </row>
    <row r="3" spans="1:15" ht="15.75" x14ac:dyDescent="0.25">
      <c r="A3" s="24" t="str">
        <f>Stigninger!A3</f>
        <v>Timeløn for voksne</v>
      </c>
      <c r="B3" s="100">
        <v>1</v>
      </c>
      <c r="C3" s="92">
        <f>$B3*Resultat!B3</f>
        <v>127.74999999999999</v>
      </c>
      <c r="D3" s="110">
        <f>$B3*Resultat!C3</f>
        <v>130.94999999999999</v>
      </c>
      <c r="E3" s="111">
        <f>$B3*Resultat!D3</f>
        <v>134.14999999999998</v>
      </c>
      <c r="F3" s="112">
        <f>$B3*Resultat!E3</f>
        <v>137.29999999999998</v>
      </c>
      <c r="G3" s="3"/>
      <c r="H3" s="37"/>
      <c r="I3" s="37"/>
      <c r="J3" s="37"/>
      <c r="K3" s="50"/>
      <c r="L3" s="50"/>
      <c r="M3" s="50"/>
      <c r="N3" s="50"/>
      <c r="O3" s="50"/>
    </row>
    <row r="4" spans="1:15" ht="15.75" x14ac:dyDescent="0.25">
      <c r="A4" s="58"/>
      <c r="B4" s="101"/>
      <c r="C4" s="59"/>
      <c r="D4" s="60"/>
      <c r="E4" s="60"/>
      <c r="F4" s="61"/>
      <c r="G4" s="3"/>
      <c r="H4" s="37"/>
      <c r="I4" s="37"/>
      <c r="J4" s="37"/>
      <c r="K4" s="50"/>
      <c r="L4" s="50"/>
      <c r="M4" s="50"/>
      <c r="N4" s="50"/>
      <c r="O4" s="50"/>
    </row>
    <row r="5" spans="1:15" ht="15.75" x14ac:dyDescent="0.25">
      <c r="A5" s="22" t="e">
        <f>Stigninger!#REF!</f>
        <v>#REF!</v>
      </c>
      <c r="B5" s="102"/>
      <c r="C5" s="62"/>
      <c r="D5" s="62"/>
      <c r="E5" s="62"/>
      <c r="F5" s="63"/>
      <c r="G5" s="3"/>
      <c r="H5" s="37"/>
      <c r="I5" s="37"/>
      <c r="J5" s="37"/>
      <c r="K5" s="50"/>
      <c r="L5" s="50"/>
      <c r="M5" s="50"/>
      <c r="N5" s="50"/>
      <c r="O5" s="50"/>
    </row>
    <row r="6" spans="1:15" x14ac:dyDescent="0.2">
      <c r="A6" s="57" t="str">
        <f>Stigninger!A8</f>
        <v>Anciennitetstillæg efter 12 måneder</v>
      </c>
      <c r="B6" s="103">
        <v>0.25</v>
      </c>
      <c r="C6" s="43" t="e">
        <f>$B6*Resultat!#REF!</f>
        <v>#REF!</v>
      </c>
      <c r="D6" s="42" t="e">
        <f>$B6*Resultat!#REF!</f>
        <v>#REF!</v>
      </c>
      <c r="E6" s="39" t="e">
        <f>$B6*Resultat!#REF!</f>
        <v>#REF!</v>
      </c>
      <c r="F6" s="40" t="e">
        <f>$B6*Resultat!#REF!</f>
        <v>#REF!</v>
      </c>
      <c r="G6" s="3"/>
      <c r="H6" s="37"/>
      <c r="I6" s="37"/>
      <c r="J6" s="37"/>
      <c r="K6" s="37"/>
      <c r="L6" s="50"/>
      <c r="M6" s="50"/>
      <c r="N6" s="50"/>
      <c r="O6" s="50"/>
    </row>
    <row r="7" spans="1:15" x14ac:dyDescent="0.2">
      <c r="A7" s="9" t="e">
        <f>Stigninger!#REF!</f>
        <v>#REF!</v>
      </c>
      <c r="B7" s="104">
        <v>0.3</v>
      </c>
      <c r="C7" s="28" t="e">
        <f>$B7*Resultat!#REF!</f>
        <v>#REF!</v>
      </c>
      <c r="D7" s="10" t="e">
        <f>$B7*Resultat!#REF!</f>
        <v>#REF!</v>
      </c>
      <c r="E7" s="6" t="e">
        <f>$B7*Resultat!#REF!</f>
        <v>#REF!</v>
      </c>
      <c r="F7" s="7" t="e">
        <f>$B7*Resultat!#REF!</f>
        <v>#REF!</v>
      </c>
      <c r="G7" s="3"/>
      <c r="H7" s="50"/>
      <c r="I7" s="50"/>
      <c r="J7" s="50"/>
      <c r="K7" s="50"/>
      <c r="L7" s="50"/>
      <c r="M7" s="50"/>
      <c r="N7" s="50"/>
      <c r="O7" s="50"/>
    </row>
    <row r="8" spans="1:15" x14ac:dyDescent="0.2">
      <c r="A8" s="20" t="e">
        <f>Stigninger!#REF!</f>
        <v>#REF!</v>
      </c>
      <c r="B8" s="105">
        <v>0.25</v>
      </c>
      <c r="C8" s="31" t="e">
        <f>$B8*Resultat!#REF!</f>
        <v>#REF!</v>
      </c>
      <c r="D8" s="12" t="e">
        <f>$B8*Resultat!#REF!</f>
        <v>#REF!</v>
      </c>
      <c r="E8" s="11" t="e">
        <f>$B8*Resultat!#REF!</f>
        <v>#REF!</v>
      </c>
      <c r="F8" s="33" t="e">
        <f>$B8*Resultat!#REF!</f>
        <v>#REF!</v>
      </c>
      <c r="G8" s="3"/>
      <c r="H8" s="50"/>
      <c r="I8" s="50"/>
      <c r="J8" s="50"/>
      <c r="K8" s="50"/>
      <c r="L8" s="51"/>
      <c r="M8" s="50"/>
      <c r="N8" s="50"/>
      <c r="O8" s="50"/>
    </row>
    <row r="9" spans="1:15" x14ac:dyDescent="0.2">
      <c r="A9" s="67"/>
      <c r="B9" s="106"/>
      <c r="C9" s="60"/>
      <c r="D9" s="60"/>
      <c r="E9" s="60"/>
      <c r="F9" s="61"/>
      <c r="G9" s="3"/>
      <c r="H9" s="50"/>
      <c r="I9" s="50"/>
      <c r="J9" s="50"/>
      <c r="K9" s="50"/>
      <c r="L9" s="51"/>
      <c r="M9" s="50"/>
      <c r="N9" s="50"/>
      <c r="O9" s="50"/>
    </row>
    <row r="10" spans="1:15" ht="15.75" x14ac:dyDescent="0.25">
      <c r="A10" s="22" t="str">
        <f>Stigninger!A13</f>
        <v>Overarbejdstillæg</v>
      </c>
      <c r="B10" s="102"/>
      <c r="C10" s="62"/>
      <c r="D10" s="62"/>
      <c r="E10" s="62"/>
      <c r="F10" s="63"/>
      <c r="G10" s="3"/>
      <c r="H10" s="50"/>
      <c r="I10" s="50"/>
      <c r="J10" s="50"/>
      <c r="K10" s="50"/>
      <c r="L10" s="50"/>
      <c r="M10" s="50"/>
      <c r="N10" s="50"/>
      <c r="O10" s="50"/>
    </row>
    <row r="11" spans="1:15" x14ac:dyDescent="0.2">
      <c r="A11" s="57" t="e">
        <f>Stigninger!#REF!</f>
        <v>#REF!</v>
      </c>
      <c r="B11" s="103">
        <v>0.08</v>
      </c>
      <c r="C11" s="43" t="e">
        <f>$B11*Resultat!#REF!</f>
        <v>#REF!</v>
      </c>
      <c r="D11" s="42" t="e">
        <f>$B11*Resultat!#REF!</f>
        <v>#REF!</v>
      </c>
      <c r="E11" s="39" t="e">
        <f>$B11*Resultat!#REF!</f>
        <v>#REF!</v>
      </c>
      <c r="F11" s="40" t="e">
        <f>$B11*Resultat!#REF!</f>
        <v>#REF!</v>
      </c>
      <c r="G11" s="3"/>
      <c r="H11" s="52"/>
      <c r="I11" s="52"/>
      <c r="J11" s="52"/>
      <c r="K11" s="50"/>
      <c r="L11" s="37"/>
      <c r="M11" s="37"/>
      <c r="N11" s="37"/>
      <c r="O11" s="37"/>
    </row>
    <row r="12" spans="1:15" x14ac:dyDescent="0.2">
      <c r="A12" s="9" t="str">
        <f>Stigninger!A16</f>
        <v>2. til 4. time efter normalarbejdstid</v>
      </c>
      <c r="B12" s="104">
        <v>0.03</v>
      </c>
      <c r="C12" s="28">
        <f>$B12*Resultat!B18</f>
        <v>1.7217</v>
      </c>
      <c r="D12" s="10">
        <f>$B12*Resultat!C18</f>
        <v>1.7493000000000001</v>
      </c>
      <c r="E12" s="6">
        <f>$B12*Resultat!D18</f>
        <v>1.7771999999999999</v>
      </c>
      <c r="F12" s="7">
        <f>$B12*Resultat!E18</f>
        <v>1.8057000000000001</v>
      </c>
      <c r="G12" s="3"/>
      <c r="H12" s="52"/>
      <c r="I12" s="52"/>
      <c r="J12" s="50"/>
      <c r="K12" s="50"/>
      <c r="L12" s="37"/>
      <c r="M12" s="37"/>
      <c r="N12" s="37"/>
      <c r="O12" s="37"/>
    </row>
    <row r="13" spans="1:15" x14ac:dyDescent="0.2">
      <c r="A13" s="20" t="str">
        <f>Stigninger!A17</f>
        <v>5. time efter normalarbejdstid og derefter og søn- og helligdage efter kl. 12.00 og ved arbejde før normal arbejdstid i tidsrummet kl. 06.00-19.00</v>
      </c>
      <c r="B13" s="105">
        <v>0.06</v>
      </c>
      <c r="C13" s="31">
        <f>$B13*Resultat!B19</f>
        <v>6.445199999999998</v>
      </c>
      <c r="D13" s="12">
        <f>$B13*Resultat!C19</f>
        <v>6.5483999999999982</v>
      </c>
      <c r="E13" s="11">
        <f>$B13*Resultat!D19</f>
        <v>6.6533999999999978</v>
      </c>
      <c r="F13" s="33">
        <f>$B13*Resultat!E19</f>
        <v>6.7601999999999984</v>
      </c>
      <c r="G13" s="3"/>
      <c r="H13" s="52"/>
      <c r="I13" s="52"/>
      <c r="J13" s="50"/>
      <c r="K13" s="50"/>
      <c r="L13" s="37"/>
      <c r="M13" s="37"/>
      <c r="N13" s="37"/>
      <c r="O13" s="37"/>
    </row>
    <row r="14" spans="1:15" x14ac:dyDescent="0.2">
      <c r="A14" s="68"/>
      <c r="B14" s="106"/>
      <c r="C14" s="59"/>
      <c r="D14" s="60"/>
      <c r="E14" s="60"/>
      <c r="F14" s="61"/>
      <c r="G14" s="3"/>
    </row>
    <row r="15" spans="1:15" ht="15.75" x14ac:dyDescent="0.25">
      <c r="A15" s="69" t="str">
        <f>Stigninger!A27</f>
        <v>Forskudttidstillæg</v>
      </c>
      <c r="B15" s="102"/>
      <c r="C15" s="62"/>
      <c r="D15" s="62"/>
      <c r="E15" s="62"/>
      <c r="F15" s="63"/>
      <c r="G15" s="3"/>
    </row>
    <row r="16" spans="1:15" x14ac:dyDescent="0.2">
      <c r="A16" s="35" t="str">
        <f>Stigninger!A35</f>
        <v>Varslingstilllæg</v>
      </c>
      <c r="B16" s="107">
        <v>0.1</v>
      </c>
      <c r="C16" s="28">
        <f>$B16*Resultat!B37</f>
        <v>7.104000000000001</v>
      </c>
      <c r="D16" s="10">
        <f>$B16*Resultat!C37</f>
        <v>7.104000000000001</v>
      </c>
      <c r="E16" s="6">
        <f>$B16*Resultat!D37</f>
        <v>7.104000000000001</v>
      </c>
      <c r="F16" s="7" t="e">
        <f>$B16*Resultat!#REF!</f>
        <v>#REF!</v>
      </c>
      <c r="G16" s="3"/>
    </row>
    <row r="17" spans="1:7" x14ac:dyDescent="0.2">
      <c r="A17" s="70"/>
      <c r="B17" s="17"/>
      <c r="C17" s="19"/>
      <c r="D17" s="19"/>
      <c r="E17" s="19"/>
      <c r="F17" s="71"/>
      <c r="G17" s="3"/>
    </row>
    <row r="18" spans="1:7" ht="15.75" x14ac:dyDescent="0.25">
      <c r="A18" s="146" t="e">
        <f>Stigninger!#REF!</f>
        <v>#REF!</v>
      </c>
      <c r="B18" s="108">
        <v>0.3</v>
      </c>
      <c r="C18" s="30" t="e">
        <f>$B18*Resultat!#REF!</f>
        <v>#REF!</v>
      </c>
      <c r="D18" s="14" t="e">
        <f>$B18*Resultat!#REF!</f>
        <v>#REF!</v>
      </c>
      <c r="E18" s="15" t="e">
        <f>$B18*Resultat!#REF!</f>
        <v>#REF!</v>
      </c>
      <c r="F18" s="23" t="e">
        <f>$B18*Resultat!#REF!</f>
        <v>#REF!</v>
      </c>
      <c r="G18" s="3"/>
    </row>
    <row r="19" spans="1:7" ht="15.75" x14ac:dyDescent="0.25">
      <c r="A19" s="72"/>
      <c r="B19" s="109"/>
      <c r="C19" s="37"/>
      <c r="D19" s="37"/>
      <c r="E19" s="37"/>
      <c r="F19" s="38"/>
      <c r="G19" s="3"/>
    </row>
    <row r="20" spans="1:7" ht="15.75" x14ac:dyDescent="0.25">
      <c r="A20" s="13" t="s">
        <v>11</v>
      </c>
      <c r="B20" s="17"/>
      <c r="C20" s="30" t="e">
        <f>SUM(C3:C19)</f>
        <v>#REF!</v>
      </c>
      <c r="D20" s="45" t="e">
        <f>SUM(D3:D19)</f>
        <v>#REF!</v>
      </c>
      <c r="E20" s="15" t="e">
        <f>SUM(E3:E19)</f>
        <v>#REF!</v>
      </c>
      <c r="F20" s="23" t="e">
        <f>SUM(F3:F19)</f>
        <v>#REF!</v>
      </c>
      <c r="G20" s="113" t="e">
        <f>(F20-C20)/C20</f>
        <v>#REF!</v>
      </c>
    </row>
    <row r="21" spans="1:7" ht="15.75" x14ac:dyDescent="0.25">
      <c r="A21" s="54"/>
      <c r="B21" s="106"/>
      <c r="C21" s="60"/>
      <c r="D21" s="60"/>
      <c r="E21" s="60"/>
      <c r="F21" s="61"/>
      <c r="G21" s="124"/>
    </row>
    <row r="22" spans="1:7" ht="15.75" x14ac:dyDescent="0.25">
      <c r="A22" s="69"/>
      <c r="B22" s="121"/>
      <c r="C22" s="36"/>
      <c r="D22" s="36"/>
      <c r="E22" s="36"/>
      <c r="F22" s="122"/>
      <c r="G22" s="124"/>
    </row>
    <row r="23" spans="1:7" x14ac:dyDescent="0.2">
      <c r="A23" s="126" t="s">
        <v>12</v>
      </c>
      <c r="B23" s="115">
        <v>2.2499999999999999E-2</v>
      </c>
      <c r="C23" s="43" t="e">
        <f>$B23*(C20-C11-C12-C13)</f>
        <v>#REF!</v>
      </c>
      <c r="D23" s="42" t="e">
        <f>$B23*(D20-D11-D12-D13)</f>
        <v>#REF!</v>
      </c>
      <c r="E23" s="39" t="e">
        <f>$B23*(E20-E11-E12-E13)</f>
        <v>#REF!</v>
      </c>
      <c r="F23" s="40" t="e">
        <f>$B23*(F20-F11-F12-F13)</f>
        <v>#REF!</v>
      </c>
      <c r="G23" s="124"/>
    </row>
    <row r="24" spans="1:7" x14ac:dyDescent="0.2">
      <c r="A24" s="4" t="s">
        <v>13</v>
      </c>
      <c r="B24" s="116">
        <v>0.03</v>
      </c>
      <c r="C24" s="28" t="e">
        <f>$B24*C20</f>
        <v>#REF!</v>
      </c>
      <c r="D24" s="10" t="e">
        <f>$B24*D20</f>
        <v>#REF!</v>
      </c>
      <c r="E24" s="6" t="e">
        <f>$B24*E20</f>
        <v>#REF!</v>
      </c>
      <c r="F24" s="7" t="e">
        <f>$B24*F20</f>
        <v>#REF!</v>
      </c>
      <c r="G24" s="124"/>
    </row>
    <row r="25" spans="1:7" x14ac:dyDescent="0.2">
      <c r="A25" s="127" t="s">
        <v>1</v>
      </c>
      <c r="B25" s="117">
        <v>0.125</v>
      </c>
      <c r="C25" s="29" t="e">
        <f>$B25*C20</f>
        <v>#REF!</v>
      </c>
      <c r="D25" s="21" t="e">
        <f>$B25*D20</f>
        <v>#REF!</v>
      </c>
      <c r="E25" s="64" t="e">
        <f>$B25*E20</f>
        <v>#REF!</v>
      </c>
      <c r="F25" s="65" t="e">
        <f>$B25*F20</f>
        <v>#REF!</v>
      </c>
      <c r="G25" s="124"/>
    </row>
    <row r="26" spans="1:7" ht="15.75" x14ac:dyDescent="0.25">
      <c r="A26" s="118" t="s">
        <v>14</v>
      </c>
      <c r="B26" s="119"/>
      <c r="C26" s="30" t="e">
        <f>SUM(C20:C25)</f>
        <v>#REF!</v>
      </c>
      <c r="D26" s="14" t="e">
        <f>SUM(D20:D25)</f>
        <v>#REF!</v>
      </c>
      <c r="E26" s="15" t="e">
        <f>SUM(E20:E25)</f>
        <v>#REF!</v>
      </c>
      <c r="F26" s="23" t="e">
        <f>SUM(F20:F25)</f>
        <v>#REF!</v>
      </c>
      <c r="G26" s="124"/>
    </row>
    <row r="27" spans="1:7" x14ac:dyDescent="0.2">
      <c r="A27" s="128" t="s">
        <v>15</v>
      </c>
      <c r="B27" s="120"/>
      <c r="C27" s="53" t="e">
        <f>Resultat!B49*C26</f>
        <v>#REF!</v>
      </c>
      <c r="D27" s="27" t="e">
        <f>Resultat!C49*D26</f>
        <v>#REF!</v>
      </c>
      <c r="E27" s="25" t="e">
        <f>Resultat!D49*E26</f>
        <v>#REF!</v>
      </c>
      <c r="F27" s="26" t="e">
        <f>Resultat!E49*F26</f>
        <v>#REF!</v>
      </c>
      <c r="G27" s="3"/>
    </row>
    <row r="28" spans="1:7" ht="15.75" x14ac:dyDescent="0.25">
      <c r="A28" s="13" t="s">
        <v>11</v>
      </c>
      <c r="B28" s="18"/>
      <c r="C28" s="30" t="e">
        <f>SUM(C26:C27)</f>
        <v>#REF!</v>
      </c>
      <c r="D28" s="14" t="e">
        <f>SUM(D26:D27)</f>
        <v>#REF!</v>
      </c>
      <c r="E28" s="15" t="e">
        <f>SUM(E26:E27)</f>
        <v>#REF!</v>
      </c>
      <c r="F28" s="23" t="e">
        <f>SUM(F26:F27)</f>
        <v>#REF!</v>
      </c>
      <c r="G28" s="113" t="e">
        <f>(F28-C28)/C28</f>
        <v>#REF!</v>
      </c>
    </row>
    <row r="29" spans="1:7" ht="15.75" x14ac:dyDescent="0.25">
      <c r="A29" s="97"/>
      <c r="B29" s="109"/>
      <c r="C29" s="52"/>
      <c r="D29" s="52"/>
      <c r="E29" s="52"/>
      <c r="F29" s="52"/>
      <c r="G29" s="114"/>
    </row>
  </sheetData>
  <sheetProtection password="CC68" sheet="1" objects="1" scenarios="1"/>
  <phoneticPr fontId="0" type="noConversion"/>
  <pageMargins left="0.78740157480314965" right="0.78740157480314965" top="1.3779527559055118" bottom="0.59055118110236227" header="0.59055118110236227" footer="0.39370078740157483"/>
  <pageSetup paperSize="9" orientation="portrait" r:id="rId1"/>
  <headerFooter alignWithMargins="0">
    <oddHeader>&amp;L&amp;"Arial,Fed"&amp;16SiD/HTS-A:&amp;C&amp;"Arial,Fed"&amp;16Turistoverenskomsten 2004-2007
&amp;A</oddHeader>
    <oddFooter>&amp;L&amp;9&amp;F&amp;R&amp;9&amp;D, kl.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Normal="100" workbookViewId="0">
      <selection activeCell="A34" sqref="A34"/>
    </sheetView>
  </sheetViews>
  <sheetFormatPr defaultRowHeight="12.75" x14ac:dyDescent="0.2"/>
  <cols>
    <col min="1" max="1" width="17.7109375" customWidth="1"/>
    <col min="2" max="2" width="9.42578125" customWidth="1"/>
    <col min="3" max="3" width="18.28515625" customWidth="1"/>
    <col min="4" max="8" width="9.7109375" customWidth="1"/>
  </cols>
  <sheetData>
    <row r="1" spans="1:8" ht="15.75" x14ac:dyDescent="0.25">
      <c r="A1" s="544" t="s">
        <v>34</v>
      </c>
      <c r="B1" s="545"/>
      <c r="C1" s="546"/>
      <c r="D1" s="256" t="str">
        <f>Stigninger!B1</f>
        <v>Udgangs-</v>
      </c>
      <c r="E1" s="334" t="str">
        <f>Stigninger!C1</f>
        <v>1. marts</v>
      </c>
      <c r="F1" s="335" t="str">
        <f>Stigninger!D1</f>
        <v>1. marts</v>
      </c>
      <c r="G1" s="336" t="str">
        <f>Stigninger!E1</f>
        <v>1. marts</v>
      </c>
      <c r="H1" s="257" t="s">
        <v>35</v>
      </c>
    </row>
    <row r="2" spans="1:8" ht="15.75" x14ac:dyDescent="0.25">
      <c r="A2" s="547" t="s">
        <v>36</v>
      </c>
      <c r="B2" s="536"/>
      <c r="C2" s="537"/>
      <c r="D2" s="258" t="str">
        <f>Stigninger!B2</f>
        <v>punkt</v>
      </c>
      <c r="E2" s="337">
        <f>Stigninger!C2</f>
        <v>2020</v>
      </c>
      <c r="F2" s="338">
        <f>Stigninger!D2</f>
        <v>2021</v>
      </c>
      <c r="G2" s="339">
        <f>Stigninger!E2</f>
        <v>2022</v>
      </c>
      <c r="H2" s="73" t="s">
        <v>37</v>
      </c>
    </row>
    <row r="3" spans="1:8" ht="15" x14ac:dyDescent="0.2">
      <c r="A3" s="185" t="str">
        <f>Resultat!A3</f>
        <v>Timeløn for voksne</v>
      </c>
      <c r="B3" s="186"/>
      <c r="C3" s="187"/>
      <c r="D3" s="43">
        <f>Resultat!B3</f>
        <v>127.74999999999999</v>
      </c>
      <c r="E3" s="42">
        <f>Resultat!C3</f>
        <v>130.94999999999999</v>
      </c>
      <c r="F3" s="42">
        <f>Resultat!D3</f>
        <v>134.14999999999998</v>
      </c>
      <c r="G3" s="42">
        <f>Resultat!E3</f>
        <v>137.29999999999998</v>
      </c>
      <c r="H3" s="16"/>
    </row>
    <row r="4" spans="1:8" ht="15" x14ac:dyDescent="0.2">
      <c r="A4" s="189" t="e">
        <f>Resultat!#REF!</f>
        <v>#REF!</v>
      </c>
      <c r="B4" s="190"/>
      <c r="C4" s="191"/>
      <c r="D4" s="28" t="e">
        <f>Resultat!#REF!</f>
        <v>#REF!</v>
      </c>
      <c r="E4" s="10" t="e">
        <f>Resultat!#REF!</f>
        <v>#REF!</v>
      </c>
      <c r="F4" s="10" t="e">
        <f>Resultat!#REF!</f>
        <v>#REF!</v>
      </c>
      <c r="G4" s="10" t="e">
        <f>Resultat!#REF!</f>
        <v>#REF!</v>
      </c>
      <c r="H4" s="5"/>
    </row>
    <row r="5" spans="1:8" ht="15.75" x14ac:dyDescent="0.25">
      <c r="A5" s="24" t="s">
        <v>22</v>
      </c>
      <c r="B5" s="186"/>
      <c r="C5" s="187"/>
      <c r="D5" s="43" t="e">
        <f>SUM(D3:D4)</f>
        <v>#REF!</v>
      </c>
      <c r="E5" s="42" t="e">
        <f>SUM(E3:E4)</f>
        <v>#REF!</v>
      </c>
      <c r="F5" s="39" t="e">
        <f>SUM(F3:F4)</f>
        <v>#REF!</v>
      </c>
      <c r="G5" s="40" t="e">
        <f>SUM(G3:G4)</f>
        <v>#REF!</v>
      </c>
      <c r="H5" s="30" t="e">
        <f>G5-D5</f>
        <v>#REF!</v>
      </c>
    </row>
    <row r="6" spans="1:8" ht="15" x14ac:dyDescent="0.2">
      <c r="A6" s="192" t="str">
        <f>'Generelle lønstigninger'!A6</f>
        <v>Anciennitetstillæg efter 12 måneder:</v>
      </c>
      <c r="B6" s="193"/>
      <c r="C6" s="194"/>
      <c r="D6" s="31" t="e">
        <f>Resultat!#REF!</f>
        <v>#REF!</v>
      </c>
      <c r="E6" s="247" t="e">
        <f>Resultat!#REF!</f>
        <v>#REF!</v>
      </c>
      <c r="F6" s="247" t="e">
        <f>Resultat!#REF!</f>
        <v>#REF!</v>
      </c>
      <c r="G6" s="247" t="e">
        <f>Resultat!#REF!</f>
        <v>#REF!</v>
      </c>
      <c r="H6" s="5"/>
    </row>
    <row r="7" spans="1:8" ht="15.75" x14ac:dyDescent="0.25">
      <c r="A7" s="24" t="s">
        <v>22</v>
      </c>
      <c r="B7" s="186"/>
      <c r="C7" s="187"/>
      <c r="D7" s="43" t="e">
        <f>SUM(D5:D6)</f>
        <v>#REF!</v>
      </c>
      <c r="E7" s="42" t="e">
        <f>SUM(E5:E6)</f>
        <v>#REF!</v>
      </c>
      <c r="F7" s="39" t="e">
        <f>SUM(F5:F6)</f>
        <v>#REF!</v>
      </c>
      <c r="G7" s="40" t="e">
        <f>SUM(G5:G6)</f>
        <v>#REF!</v>
      </c>
      <c r="H7" s="30" t="e">
        <f>G7-D7</f>
        <v>#REF!</v>
      </c>
    </row>
    <row r="8" spans="1:8" ht="15" x14ac:dyDescent="0.2">
      <c r="A8" s="199" t="s">
        <v>23</v>
      </c>
      <c r="B8" s="541" t="s">
        <v>24</v>
      </c>
      <c r="C8" s="543"/>
      <c r="D8" s="259">
        <v>0</v>
      </c>
      <c r="E8" s="200">
        <v>0</v>
      </c>
      <c r="F8" s="47">
        <v>0</v>
      </c>
      <c r="G8" s="48">
        <v>0</v>
      </c>
      <c r="H8" s="5"/>
    </row>
    <row r="9" spans="1:8" ht="15.75" x14ac:dyDescent="0.25">
      <c r="A9" s="8" t="s">
        <v>25</v>
      </c>
      <c r="B9" s="340"/>
      <c r="C9" s="239"/>
      <c r="D9" s="30" t="e">
        <f>SUM(D7:D8)</f>
        <v>#REF!</v>
      </c>
      <c r="E9" s="14" t="e">
        <f>SUM(E7:E8)</f>
        <v>#REF!</v>
      </c>
      <c r="F9" s="15" t="e">
        <f>SUM(F7:F8)</f>
        <v>#REF!</v>
      </c>
      <c r="G9" s="23" t="e">
        <f>SUM(G7:G8)</f>
        <v>#REF!</v>
      </c>
      <c r="H9" s="30" t="e">
        <f>G9-D9</f>
        <v>#REF!</v>
      </c>
    </row>
    <row r="10" spans="1:8" ht="15.75" x14ac:dyDescent="0.25">
      <c r="A10" s="97"/>
      <c r="B10" s="114"/>
      <c r="C10" s="50"/>
      <c r="D10" s="50"/>
      <c r="E10" s="37"/>
      <c r="F10" s="37"/>
      <c r="G10" s="37"/>
      <c r="H10" s="37"/>
    </row>
    <row r="11" spans="1:8" ht="15.75" x14ac:dyDescent="0.25">
      <c r="A11" s="260" t="s">
        <v>45</v>
      </c>
      <c r="B11" s="261"/>
      <c r="C11" s="262"/>
      <c r="D11" s="263" t="e">
        <f>D9*37</f>
        <v>#REF!</v>
      </c>
      <c r="E11" s="264" t="e">
        <f>E9*37</f>
        <v>#REF!</v>
      </c>
      <c r="F11" s="264" t="e">
        <f>F9*37</f>
        <v>#REF!</v>
      </c>
      <c r="G11" s="264" t="e">
        <f>G9*37</f>
        <v>#REF!</v>
      </c>
      <c r="H11" s="263" t="e">
        <f>G11-D11</f>
        <v>#REF!</v>
      </c>
    </row>
    <row r="12" spans="1:8" ht="15.75" x14ac:dyDescent="0.25">
      <c r="A12" s="265" t="s">
        <v>44</v>
      </c>
      <c r="B12" s="266"/>
      <c r="C12" s="267"/>
      <c r="D12" s="268" t="e">
        <f>D9*160.33</f>
        <v>#REF!</v>
      </c>
      <c r="E12" s="269" t="e">
        <f>E9*160.33</f>
        <v>#REF!</v>
      </c>
      <c r="F12" s="269" t="e">
        <f>F9*160.33</f>
        <v>#REF!</v>
      </c>
      <c r="G12" s="269" t="e">
        <f>G9*160.33</f>
        <v>#REF!</v>
      </c>
      <c r="H12" s="268" t="e">
        <f>G12-D12</f>
        <v>#REF!</v>
      </c>
    </row>
    <row r="13" spans="1:8" ht="15.75" x14ac:dyDescent="0.25">
      <c r="A13" s="97"/>
      <c r="B13" s="114"/>
      <c r="C13" s="50"/>
      <c r="D13" s="50"/>
      <c r="E13" s="37"/>
      <c r="F13" s="37"/>
      <c r="G13" s="37"/>
      <c r="H13" s="37"/>
    </row>
    <row r="14" spans="1:8" ht="15" x14ac:dyDescent="0.2">
      <c r="A14" s="1"/>
      <c r="B14" s="2"/>
      <c r="C14" s="1"/>
      <c r="D14" s="1"/>
      <c r="E14" s="1"/>
      <c r="F14" s="1"/>
      <c r="G14" s="1"/>
      <c r="H14" s="1"/>
    </row>
    <row r="15" spans="1:8" ht="15" x14ac:dyDescent="0.2">
      <c r="A15" s="126" t="s">
        <v>26</v>
      </c>
      <c r="B15" s="201">
        <v>6.7500000000000004E-2</v>
      </c>
      <c r="C15" s="202"/>
      <c r="D15" s="203" t="e">
        <f>$B15*D7</f>
        <v>#REF!</v>
      </c>
      <c r="E15" s="203" t="e">
        <f>$B15*E7</f>
        <v>#REF!</v>
      </c>
      <c r="F15" s="93" t="e">
        <f>$B15*F7</f>
        <v>#REF!</v>
      </c>
      <c r="G15" s="94" t="e">
        <f>$B15*G7</f>
        <v>#REF!</v>
      </c>
      <c r="H15" s="16"/>
    </row>
    <row r="16" spans="1:8" ht="15" x14ac:dyDescent="0.2">
      <c r="A16" s="199" t="s">
        <v>1</v>
      </c>
      <c r="B16" s="204">
        <v>0.125</v>
      </c>
      <c r="C16" s="205"/>
      <c r="D16" s="200" t="e">
        <f>$B16*D7</f>
        <v>#REF!</v>
      </c>
      <c r="E16" s="200" t="e">
        <f>$B16*E7</f>
        <v>#REF!</v>
      </c>
      <c r="F16" s="47" t="e">
        <f>$B16*F7</f>
        <v>#REF!</v>
      </c>
      <c r="G16" s="48" t="e">
        <f>$B16*G7</f>
        <v>#REF!</v>
      </c>
      <c r="H16" s="5"/>
    </row>
    <row r="17" spans="1:8" ht="15" x14ac:dyDescent="0.2">
      <c r="A17" s="126" t="s">
        <v>14</v>
      </c>
      <c r="B17" s="206"/>
      <c r="C17" s="202"/>
      <c r="D17" s="203" t="e">
        <f>D9+D15+D16</f>
        <v>#REF!</v>
      </c>
      <c r="E17" s="203" t="e">
        <f>E9+E15+E16</f>
        <v>#REF!</v>
      </c>
      <c r="F17" s="93" t="e">
        <f>F9+F15+F16</f>
        <v>#REF!</v>
      </c>
      <c r="G17" s="94" t="e">
        <f>G9+G15+G16</f>
        <v>#REF!</v>
      </c>
      <c r="H17" s="207" t="e">
        <f>G17-D17</f>
        <v>#REF!</v>
      </c>
    </row>
    <row r="18" spans="1:8" ht="15" x14ac:dyDescent="0.2">
      <c r="A18" s="127" t="s">
        <v>15</v>
      </c>
      <c r="B18" s="270"/>
      <c r="C18" s="271"/>
      <c r="D18" s="210" t="e">
        <f>D42*D17</f>
        <v>#REF!</v>
      </c>
      <c r="E18" s="200" t="e">
        <f>E42*E17</f>
        <v>#REF!</v>
      </c>
      <c r="F18" s="47" t="e">
        <f>F42*F17</f>
        <v>#REF!</v>
      </c>
      <c r="G18" s="48" t="e">
        <f>G42*G17</f>
        <v>#REF!</v>
      </c>
      <c r="H18" s="5"/>
    </row>
    <row r="19" spans="1:8" ht="15.75" x14ac:dyDescent="0.25">
      <c r="A19" s="13" t="s">
        <v>28</v>
      </c>
      <c r="B19" s="219"/>
      <c r="C19" s="272"/>
      <c r="D19" s="110" t="e">
        <f>SUM(D17:D18)</f>
        <v>#REF!</v>
      </c>
      <c r="E19" s="110" t="e">
        <f>SUM(E17:E18)</f>
        <v>#REF!</v>
      </c>
      <c r="F19" s="111" t="e">
        <f>SUM(F17:F18)</f>
        <v>#REF!</v>
      </c>
      <c r="G19" s="112" t="e">
        <f>SUM(G17:G18)</f>
        <v>#REF!</v>
      </c>
      <c r="H19" s="207" t="e">
        <f>G19-D19</f>
        <v>#REF!</v>
      </c>
    </row>
    <row r="20" spans="1:8" ht="15.75" x14ac:dyDescent="0.25">
      <c r="A20" s="215"/>
      <c r="B20" s="216"/>
      <c r="C20" s="217"/>
      <c r="D20" s="217"/>
      <c r="E20" s="217"/>
      <c r="F20" s="217"/>
      <c r="G20" s="217"/>
      <c r="H20" s="217"/>
    </row>
    <row r="21" spans="1:8" ht="15.75" x14ac:dyDescent="0.25">
      <c r="A21" s="260" t="s">
        <v>47</v>
      </c>
      <c r="B21" s="273"/>
      <c r="C21" s="274"/>
      <c r="D21" s="263" t="e">
        <f>D19*37</f>
        <v>#REF!</v>
      </c>
      <c r="E21" s="264" t="e">
        <f>E19*37</f>
        <v>#REF!</v>
      </c>
      <c r="F21" s="264" t="e">
        <f>F19*37</f>
        <v>#REF!</v>
      </c>
      <c r="G21" s="264" t="e">
        <f>G19*37</f>
        <v>#REF!</v>
      </c>
      <c r="H21" s="263" t="e">
        <f>G21-D21</f>
        <v>#REF!</v>
      </c>
    </row>
    <row r="22" spans="1:8" ht="15.75" x14ac:dyDescent="0.25">
      <c r="A22" s="265" t="s">
        <v>46</v>
      </c>
      <c r="B22" s="275"/>
      <c r="C22" s="276"/>
      <c r="D22" s="268" t="e">
        <f>D19*160.33</f>
        <v>#REF!</v>
      </c>
      <c r="E22" s="269" t="e">
        <f>E19*160.33</f>
        <v>#REF!</v>
      </c>
      <c r="F22" s="269" t="e">
        <f>F19*160.33</f>
        <v>#REF!</v>
      </c>
      <c r="G22" s="269" t="e">
        <f>G19*160.33</f>
        <v>#REF!</v>
      </c>
      <c r="H22" s="268" t="e">
        <f>G22-D22</f>
        <v>#REF!</v>
      </c>
    </row>
    <row r="23" spans="1:8" ht="15" x14ac:dyDescent="0.2">
      <c r="H23" s="277"/>
    </row>
    <row r="24" spans="1:8" ht="15.75" x14ac:dyDescent="0.25">
      <c r="A24" s="278" t="e">
        <f>Resultat!#REF!</f>
        <v>#REF!</v>
      </c>
      <c r="B24" s="277"/>
      <c r="C24" s="277"/>
      <c r="D24" s="277"/>
      <c r="E24" s="277"/>
      <c r="F24" s="277"/>
      <c r="G24" s="277"/>
      <c r="H24" s="277"/>
    </row>
    <row r="25" spans="1:8" ht="15" x14ac:dyDescent="0.2">
      <c r="A25" s="316" t="e">
        <f>Resultat!#REF!</f>
        <v>#REF!</v>
      </c>
      <c r="B25" s="279"/>
      <c r="C25" s="280"/>
      <c r="D25" s="281" t="e">
        <f>Resultat!#REF!</f>
        <v>#REF!</v>
      </c>
      <c r="E25" s="282" t="e">
        <f>Resultat!#REF!</f>
        <v>#REF!</v>
      </c>
      <c r="F25" s="312" t="e">
        <f>Resultat!#REF!</f>
        <v>#REF!</v>
      </c>
      <c r="G25" s="314" t="e">
        <f>Resultat!#REF!</f>
        <v>#REF!</v>
      </c>
      <c r="H25" s="281" t="e">
        <f>G25-D25</f>
        <v>#REF!</v>
      </c>
    </row>
    <row r="26" spans="1:8" ht="15" x14ac:dyDescent="0.2">
      <c r="A26" s="317" t="e">
        <f>Resultat!#REF!</f>
        <v>#REF!</v>
      </c>
      <c r="B26" s="287"/>
      <c r="C26" s="288"/>
      <c r="D26" s="289" t="e">
        <f>Resultat!#REF!</f>
        <v>#REF!</v>
      </c>
      <c r="E26" s="290" t="e">
        <f>Resultat!#REF!</f>
        <v>#REF!</v>
      </c>
      <c r="F26" s="313" t="e">
        <f>Resultat!#REF!</f>
        <v>#REF!</v>
      </c>
      <c r="G26" s="315" t="e">
        <f>Resultat!#REF!</f>
        <v>#REF!</v>
      </c>
      <c r="H26" s="289" t="e">
        <f>G26-D26</f>
        <v>#REF!</v>
      </c>
    </row>
    <row r="27" spans="1:8" ht="15" x14ac:dyDescent="0.2">
      <c r="H27" s="277"/>
    </row>
    <row r="28" spans="1:8" ht="15.75" x14ac:dyDescent="0.25">
      <c r="A28" s="24" t="str">
        <f>Resultat!A13</f>
        <v>Kursustillæg</v>
      </c>
      <c r="B28" s="307"/>
      <c r="C28" s="308"/>
      <c r="D28" s="43">
        <f>Resultat!B13</f>
        <v>1</v>
      </c>
      <c r="E28" s="42">
        <f>Resultat!C13</f>
        <v>1</v>
      </c>
      <c r="F28" s="39">
        <f>Resultat!D13</f>
        <v>1</v>
      </c>
      <c r="G28" s="222">
        <f>Resultat!E13</f>
        <v>1</v>
      </c>
      <c r="H28" s="281">
        <f>G28-D28</f>
        <v>0</v>
      </c>
    </row>
    <row r="29" spans="1:8" ht="15.75" x14ac:dyDescent="0.25">
      <c r="A29" s="55" t="str">
        <f>Resultat!A14</f>
        <v>Mentortillæg</v>
      </c>
      <c r="B29" s="309"/>
      <c r="C29" s="310"/>
      <c r="D29" s="31">
        <f>Resultat!B14</f>
        <v>2</v>
      </c>
      <c r="E29" s="12">
        <f>Resultat!C14</f>
        <v>2</v>
      </c>
      <c r="F29" s="11">
        <f>Resultat!D14</f>
        <v>2</v>
      </c>
      <c r="G29" s="224">
        <f>Resultat!E14</f>
        <v>2</v>
      </c>
      <c r="H29" s="289">
        <f>G29-D29</f>
        <v>0</v>
      </c>
    </row>
    <row r="30" spans="1:8" ht="15" x14ac:dyDescent="0.2">
      <c r="A30" s="277"/>
      <c r="B30" s="277"/>
      <c r="C30" s="277"/>
      <c r="D30" s="277"/>
      <c r="E30" s="277"/>
      <c r="F30" s="277"/>
      <c r="G30" s="277"/>
      <c r="H30" s="277"/>
    </row>
    <row r="31" spans="1:8" ht="15.75" x14ac:dyDescent="0.25">
      <c r="A31" s="278" t="str">
        <f>Resultat!A15</f>
        <v>Overarbejdstillæg</v>
      </c>
      <c r="B31" s="277"/>
      <c r="C31" s="277"/>
      <c r="D31" s="277"/>
      <c r="E31" s="277"/>
      <c r="F31" s="277"/>
      <c r="G31" s="277"/>
      <c r="H31" s="277"/>
    </row>
    <row r="32" spans="1:8" ht="15" x14ac:dyDescent="0.2">
      <c r="A32" s="316" t="e">
        <f>Resultat!#REF!</f>
        <v>#REF!</v>
      </c>
      <c r="B32" s="279"/>
      <c r="C32" s="280"/>
      <c r="D32" s="281" t="e">
        <f>Resultat!#REF!</f>
        <v>#REF!</v>
      </c>
      <c r="E32" s="282" t="e">
        <f>Resultat!#REF!</f>
        <v>#REF!</v>
      </c>
      <c r="F32" s="312" t="e">
        <f>Resultat!#REF!</f>
        <v>#REF!</v>
      </c>
      <c r="G32" s="314" t="e">
        <f>Resultat!#REF!</f>
        <v>#REF!</v>
      </c>
      <c r="H32" s="281" t="e">
        <f>G32-D32</f>
        <v>#REF!</v>
      </c>
    </row>
    <row r="33" spans="1:8" ht="15" x14ac:dyDescent="0.2">
      <c r="A33" s="320" t="str">
        <f>Resultat!A18</f>
        <v>2. til 4. time efter normalarbejdstid</v>
      </c>
      <c r="B33" s="283"/>
      <c r="C33" s="284"/>
      <c r="D33" s="285">
        <f>Resultat!B18</f>
        <v>57.39</v>
      </c>
      <c r="E33" s="286">
        <f>Resultat!C18</f>
        <v>58.31</v>
      </c>
      <c r="F33" s="318">
        <f>Resultat!D18</f>
        <v>59.24</v>
      </c>
      <c r="G33" s="319">
        <f>Resultat!E18</f>
        <v>60.190000000000005</v>
      </c>
      <c r="H33" s="285">
        <f>G33-D33</f>
        <v>2.8000000000000043</v>
      </c>
    </row>
    <row r="34" spans="1:8" ht="15" x14ac:dyDescent="0.2">
      <c r="A34" s="320" t="e">
        <f>Resultat!#REF!</f>
        <v>#REF!</v>
      </c>
      <c r="B34" s="283"/>
      <c r="C34" s="284"/>
      <c r="D34" s="285" t="e">
        <f>Resultat!#REF!</f>
        <v>#REF!</v>
      </c>
      <c r="E34" s="286" t="e">
        <f>Resultat!#REF!</f>
        <v>#REF!</v>
      </c>
      <c r="F34" s="318" t="e">
        <f>Resultat!#REF!</f>
        <v>#REF!</v>
      </c>
      <c r="G34" s="319" t="e">
        <f>Resultat!#REF!</f>
        <v>#REF!</v>
      </c>
      <c r="H34" s="285" t="e">
        <f>G34-D34</f>
        <v>#REF!</v>
      </c>
    </row>
    <row r="35" spans="1:8" ht="15" x14ac:dyDescent="0.2">
      <c r="A35" s="321" t="e">
        <f>Resultat!#REF!</f>
        <v>#REF!</v>
      </c>
      <c r="B35" s="322"/>
      <c r="C35" s="323"/>
      <c r="D35" s="324"/>
      <c r="E35" s="325"/>
      <c r="F35" s="326"/>
      <c r="G35" s="327"/>
      <c r="H35" s="324"/>
    </row>
    <row r="36" spans="1:8" ht="15" x14ac:dyDescent="0.2">
      <c r="A36" s="328" t="str">
        <f>Resultat!A19</f>
        <v>5. time efter normalarbejdstid og derefter og søn- og helligdage efter kl. 12.00 og ved arbejde før normal arbejdstid i tidsrummet kl. 06.00-19.00</v>
      </c>
      <c r="B36" s="311"/>
      <c r="C36" s="329"/>
      <c r="D36" s="330">
        <f>Resultat!B19</f>
        <v>107.41999999999997</v>
      </c>
      <c r="E36" s="331">
        <f>Resultat!C19</f>
        <v>109.13999999999997</v>
      </c>
      <c r="F36" s="332">
        <f>Resultat!D19</f>
        <v>110.88999999999997</v>
      </c>
      <c r="G36" s="333">
        <f>Resultat!E19</f>
        <v>112.66999999999997</v>
      </c>
      <c r="H36" s="330">
        <f>G36-D36</f>
        <v>5.25</v>
      </c>
    </row>
    <row r="37" spans="1:8" ht="15" x14ac:dyDescent="0.2">
      <c r="A37" s="277"/>
      <c r="B37" s="277"/>
      <c r="C37" s="277"/>
      <c r="D37" s="277"/>
      <c r="E37" s="277"/>
      <c r="F37" s="277"/>
      <c r="G37" s="277"/>
      <c r="H37" s="277"/>
    </row>
    <row r="38" spans="1:8" ht="15.75" x14ac:dyDescent="0.25">
      <c r="A38" s="249" t="str">
        <f>Resultat!A37</f>
        <v>Varslingstilllæg</v>
      </c>
      <c r="B38" s="279"/>
      <c r="C38" s="280"/>
      <c r="D38" s="281">
        <f>Resultat!B37</f>
        <v>71.040000000000006</v>
      </c>
      <c r="E38" s="282">
        <f>Resultat!C37</f>
        <v>71.040000000000006</v>
      </c>
      <c r="F38" s="312">
        <f>Resultat!D37</f>
        <v>71.040000000000006</v>
      </c>
      <c r="G38" s="314" t="e">
        <f>Resultat!#REF!</f>
        <v>#REF!</v>
      </c>
      <c r="H38" s="281" t="e">
        <f>G38-D38</f>
        <v>#REF!</v>
      </c>
    </row>
    <row r="39" spans="1:8" ht="15.75" x14ac:dyDescent="0.25">
      <c r="A39" s="250" t="str">
        <f>Resultat!A38</f>
        <v>Smudstillæg</v>
      </c>
      <c r="B39" s="287"/>
      <c r="C39" s="288"/>
      <c r="D39" s="289">
        <f>Resultat!B38</f>
        <v>5.47</v>
      </c>
      <c r="E39" s="290">
        <f>Resultat!C38</f>
        <v>5.56</v>
      </c>
      <c r="F39" s="313">
        <f>Resultat!D38</f>
        <v>5.6599999999999993</v>
      </c>
      <c r="G39" s="315" t="e">
        <f>Resultat!#REF!</f>
        <v>#REF!</v>
      </c>
      <c r="H39" s="289" t="e">
        <f>G39-D39</f>
        <v>#REF!</v>
      </c>
    </row>
    <row r="40" spans="1:8" ht="15" x14ac:dyDescent="0.2">
      <c r="A40" s="277"/>
      <c r="B40" s="277"/>
      <c r="C40" s="277"/>
      <c r="D40" s="277"/>
      <c r="E40" s="277"/>
      <c r="F40" s="277"/>
      <c r="G40" s="277"/>
      <c r="H40" s="277"/>
    </row>
    <row r="41" spans="1:8" ht="15.75" x14ac:dyDescent="0.25">
      <c r="A41" s="292" t="s">
        <v>0</v>
      </c>
      <c r="B41" s="293"/>
      <c r="C41" s="225"/>
      <c r="D41" s="294"/>
      <c r="E41" s="295" t="s">
        <v>42</v>
      </c>
      <c r="F41" s="295" t="s">
        <v>29</v>
      </c>
      <c r="G41" s="130" t="s">
        <v>30</v>
      </c>
      <c r="H41" s="296" t="str">
        <f>H2</f>
        <v>I alt</v>
      </c>
    </row>
    <row r="42" spans="1:8" ht="15" x14ac:dyDescent="0.2">
      <c r="A42" s="91" t="s">
        <v>6</v>
      </c>
      <c r="B42" s="297"/>
      <c r="C42" s="230"/>
      <c r="D42" s="298">
        <f>Resultat!B49</f>
        <v>0.08</v>
      </c>
      <c r="E42" s="299">
        <f>Resultat!C49</f>
        <v>0.08</v>
      </c>
      <c r="F42" s="300">
        <f>Resultat!D49</f>
        <v>0.08</v>
      </c>
      <c r="G42" s="301">
        <f>Resultat!E49</f>
        <v>0.08</v>
      </c>
      <c r="H42" s="298">
        <f>G42-D42</f>
        <v>0</v>
      </c>
    </row>
    <row r="43" spans="1:8" ht="15" x14ac:dyDescent="0.2">
      <c r="A43" s="20" t="s">
        <v>20</v>
      </c>
      <c r="B43" s="302"/>
      <c r="C43" s="235"/>
      <c r="D43" s="303">
        <f>D42/2</f>
        <v>0.04</v>
      </c>
      <c r="E43" s="304">
        <f>E42/2</f>
        <v>0.04</v>
      </c>
      <c r="F43" s="304">
        <f>F42/2</f>
        <v>0.04</v>
      </c>
      <c r="G43" s="305">
        <f>G42/2</f>
        <v>0.04</v>
      </c>
      <c r="H43" s="306">
        <f>G43-D43</f>
        <v>0</v>
      </c>
    </row>
    <row r="44" spans="1:8" ht="15.75" x14ac:dyDescent="0.25">
      <c r="A44" s="8" t="s">
        <v>5</v>
      </c>
      <c r="B44" s="237"/>
      <c r="C44" s="225"/>
      <c r="D44" s="32">
        <f>SUM(D42:D43)</f>
        <v>0.12</v>
      </c>
      <c r="E44" s="88">
        <f>SUM(E42:E43)</f>
        <v>0.12</v>
      </c>
      <c r="F44" s="89">
        <f>SUM(F42:F43)</f>
        <v>0.12</v>
      </c>
      <c r="G44" s="90">
        <f>SUM(G42:G43)</f>
        <v>0.12</v>
      </c>
      <c r="H44" s="291">
        <f>G44-D44</f>
        <v>0</v>
      </c>
    </row>
  </sheetData>
  <mergeCells count="3">
    <mergeCell ref="B8:C8"/>
    <mergeCell ref="A1:C1"/>
    <mergeCell ref="A2:C2"/>
  </mergeCells>
  <phoneticPr fontId="8" type="noConversion"/>
  <printOptions horizontalCentered="1"/>
  <pageMargins left="0.19685039370078741" right="0.19685039370078741" top="1.3779527559055118" bottom="0.98425196850393704" header="0.59055118110236227" footer="0.39370078740157483"/>
  <pageSetup paperSize="9" orientation="portrait" horizontalDpi="4294967293" r:id="rId1"/>
  <headerFooter alignWithMargins="0">
    <oddHeader>&amp;L&amp;"Arial,Fed"&amp;16 3F&amp;C&amp;"Arial,Fed"&amp;16Vaskerioverenskomsten 2007-2010
Nye lønsatser og samlet stigning for vaskeriarbejdere&amp;R&amp;"Arial,Fed"&amp;16HTS</oddHeader>
    <oddFooter>&amp;L&amp;9&amp;F&amp;R&amp;9&amp;D, kl.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1"/>
  <sheetViews>
    <sheetView topLeftCell="A20" zoomScale="200" zoomScaleNormal="200" workbookViewId="0">
      <selection activeCell="A2" sqref="A2:H2"/>
    </sheetView>
  </sheetViews>
  <sheetFormatPr defaultColWidth="9" defaultRowHeight="15" x14ac:dyDescent="0.2"/>
  <cols>
    <col min="1" max="1" width="41" style="1" customWidth="1"/>
    <col min="2" max="5" width="11.42578125" style="1" customWidth="1"/>
    <col min="6" max="6" width="9" style="1"/>
    <col min="7" max="7" width="11.5703125" style="1" bestFit="1" customWidth="1"/>
    <col min="8" max="16384" width="9" style="1"/>
  </cols>
  <sheetData>
    <row r="1" spans="1:14" ht="15.75" x14ac:dyDescent="0.25">
      <c r="A1" s="16"/>
      <c r="B1" s="77" t="str">
        <f>Stigninger!B1</f>
        <v>Udgangs-</v>
      </c>
      <c r="C1" s="144" t="str">
        <f>Stigninger!C1</f>
        <v>1. marts</v>
      </c>
      <c r="D1" s="380" t="str">
        <f>Stigninger!D1</f>
        <v>1. marts</v>
      </c>
      <c r="E1" s="80" t="str">
        <f>Stigninger!E1</f>
        <v>1. marts</v>
      </c>
    </row>
    <row r="2" spans="1:14" ht="15.75" x14ac:dyDescent="0.25">
      <c r="A2" s="56"/>
      <c r="B2" s="73" t="str">
        <f>Stigninger!B2</f>
        <v>punkt</v>
      </c>
      <c r="C2" s="145">
        <f>Stigninger!C2</f>
        <v>2020</v>
      </c>
      <c r="D2" s="381">
        <f>Stigninger!D2</f>
        <v>2021</v>
      </c>
      <c r="E2" s="76">
        <f>Stigninger!E2</f>
        <v>2022</v>
      </c>
      <c r="G2" s="49"/>
      <c r="H2" s="49"/>
      <c r="I2" s="49"/>
      <c r="J2" s="50"/>
      <c r="K2" s="50"/>
      <c r="L2" s="50"/>
      <c r="M2" s="50"/>
      <c r="N2" s="50"/>
    </row>
    <row r="3" spans="1:14" x14ac:dyDescent="0.2">
      <c r="A3" s="418" t="str">
        <f>Stigninger!A3</f>
        <v>Timeløn for voksne</v>
      </c>
      <c r="B3" s="92">
        <f>Stigninger!B3</f>
        <v>127.74999999999999</v>
      </c>
      <c r="C3" s="203">
        <f>B3+Stigninger!C3-Stigninger!C8</f>
        <v>130.94999999999999</v>
      </c>
      <c r="D3" s="353">
        <f>C3+Stigninger!D3</f>
        <v>134.14999999999998</v>
      </c>
      <c r="E3" s="94">
        <f>D3+Stigninger!E3</f>
        <v>137.29999999999998</v>
      </c>
      <c r="G3" s="37"/>
      <c r="H3" s="37"/>
      <c r="I3" s="37"/>
      <c r="J3" s="50"/>
      <c r="K3" s="50"/>
      <c r="L3" s="50"/>
      <c r="M3" s="50"/>
      <c r="N3" s="50"/>
    </row>
    <row r="4" spans="1:14" x14ac:dyDescent="0.2">
      <c r="A4" s="419" t="str">
        <f>Stigninger!A7</f>
        <v>Vaskeritillæg</v>
      </c>
      <c r="B4" s="46">
        <f>Stigninger!B7</f>
        <v>4.9499999999999993</v>
      </c>
      <c r="C4" s="356">
        <f>B4+Stigninger!C7</f>
        <v>4.9499999999999993</v>
      </c>
      <c r="D4" s="392">
        <f>C4+Stigninger!D7</f>
        <v>4.9499999999999993</v>
      </c>
      <c r="E4" s="48">
        <f>D4+Stigninger!E7</f>
        <v>4.9499999999999993</v>
      </c>
      <c r="G4" s="37"/>
      <c r="H4" s="37"/>
      <c r="I4" s="37"/>
      <c r="J4" s="50"/>
      <c r="K4" s="50"/>
      <c r="L4" s="50"/>
      <c r="M4" s="50"/>
      <c r="N4" s="50"/>
    </row>
    <row r="5" spans="1:14" ht="15.75" x14ac:dyDescent="0.25">
      <c r="A5" s="24" t="s">
        <v>85</v>
      </c>
      <c r="B5" s="92">
        <f>SUM(B3:B4)</f>
        <v>132.69999999999999</v>
      </c>
      <c r="C5" s="203">
        <f t="shared" ref="C5:D5" si="0">SUM(C3:C4)</f>
        <v>135.89999999999998</v>
      </c>
      <c r="D5" s="353">
        <f t="shared" si="0"/>
        <v>139.09999999999997</v>
      </c>
      <c r="E5" s="94">
        <f t="shared" ref="E5" si="1">SUM(E3:E4)</f>
        <v>142.24999999999997</v>
      </c>
      <c r="G5" s="37"/>
      <c r="H5" s="37"/>
      <c r="I5" s="37"/>
      <c r="J5" s="50"/>
      <c r="K5" s="50"/>
      <c r="L5" s="50"/>
      <c r="M5" s="50"/>
      <c r="N5" s="50"/>
    </row>
    <row r="6" spans="1:14" x14ac:dyDescent="0.2">
      <c r="A6" s="192" t="s">
        <v>82</v>
      </c>
      <c r="B6" s="46">
        <f>Stigninger!B8</f>
        <v>9.1999999999999993</v>
      </c>
      <c r="C6" s="200">
        <f>B6+Stigninger!C8</f>
        <v>9.1999999999999993</v>
      </c>
      <c r="D6" s="354">
        <f>C6+Stigninger!D8</f>
        <v>9.1999999999999993</v>
      </c>
      <c r="E6" s="48">
        <f>D6+Stigninger!E8</f>
        <v>9.1999999999999993</v>
      </c>
      <c r="G6" s="37"/>
      <c r="H6" s="37"/>
      <c r="I6" s="37"/>
      <c r="J6" s="50"/>
      <c r="K6" s="50"/>
      <c r="L6" s="50"/>
      <c r="M6" s="50"/>
      <c r="N6" s="50"/>
    </row>
    <row r="7" spans="1:14" ht="15.75" x14ac:dyDescent="0.25">
      <c r="A7" s="24" t="s">
        <v>88</v>
      </c>
      <c r="B7" s="92">
        <f>SUM(B5:B6)</f>
        <v>141.89999999999998</v>
      </c>
      <c r="C7" s="203">
        <f t="shared" ref="C7:D7" si="2">SUM(C5:C6)</f>
        <v>145.09999999999997</v>
      </c>
      <c r="D7" s="353">
        <f t="shared" si="2"/>
        <v>148.29999999999995</v>
      </c>
      <c r="E7" s="94">
        <f t="shared" ref="E7" si="3">SUM(E5:E6)</f>
        <v>151.44999999999996</v>
      </c>
      <c r="G7" s="37"/>
      <c r="H7" s="37"/>
      <c r="I7" s="37"/>
      <c r="J7" s="50"/>
      <c r="K7" s="50"/>
      <c r="L7" s="50"/>
      <c r="M7" s="50"/>
      <c r="N7" s="50"/>
    </row>
    <row r="8" spans="1:14" ht="15.75" x14ac:dyDescent="0.25">
      <c r="A8" s="530"/>
      <c r="B8" s="531"/>
      <c r="C8" s="531"/>
      <c r="D8" s="531"/>
      <c r="E8" s="532"/>
      <c r="G8" s="37"/>
      <c r="H8" s="37"/>
      <c r="I8" s="37"/>
      <c r="J8" s="50"/>
      <c r="K8" s="50"/>
      <c r="L8" s="50"/>
      <c r="M8" s="50"/>
      <c r="N8" s="50"/>
    </row>
    <row r="9" spans="1:14" ht="15.75" x14ac:dyDescent="0.25">
      <c r="A9" s="399" t="str">
        <f>Stigninger!A4</f>
        <v>Garantibetaling for voksne</v>
      </c>
      <c r="B9" s="207">
        <f>Stigninger!B4</f>
        <v>132.69999999999999</v>
      </c>
      <c r="C9" s="376">
        <f>B9+Stigninger!C4</f>
        <v>135.89999999999998</v>
      </c>
      <c r="D9" s="248">
        <f>C9+Stigninger!D4</f>
        <v>139.09999999999997</v>
      </c>
      <c r="E9" s="112">
        <f>D9+Stigninger!E4</f>
        <v>142.24999999999997</v>
      </c>
      <c r="G9" s="37"/>
      <c r="H9" s="37"/>
      <c r="I9" s="37"/>
      <c r="J9" s="50"/>
      <c r="K9" s="50"/>
      <c r="L9" s="50"/>
      <c r="M9" s="50"/>
      <c r="N9" s="50"/>
    </row>
    <row r="10" spans="1:14" ht="15.75" x14ac:dyDescent="0.25">
      <c r="A10" s="529"/>
      <c r="B10" s="524"/>
      <c r="C10" s="524"/>
      <c r="D10" s="524"/>
      <c r="E10" s="525"/>
      <c r="G10" s="37"/>
      <c r="H10" s="37"/>
      <c r="I10" s="37"/>
      <c r="J10" s="50"/>
      <c r="K10" s="50"/>
      <c r="L10" s="50"/>
      <c r="M10" s="50"/>
      <c r="N10" s="50"/>
    </row>
    <row r="11" spans="1:14" ht="15.75" x14ac:dyDescent="0.25">
      <c r="A11" s="8" t="str">
        <f>Stigninger!A5</f>
        <v>Timeløn for unge under 18 år</v>
      </c>
      <c r="B11" s="207">
        <f>Stigninger!B5</f>
        <v>101.43999999999998</v>
      </c>
      <c r="C11" s="110">
        <f>B11+Stigninger!C5</f>
        <v>104.63999999999999</v>
      </c>
      <c r="D11" s="248">
        <f>C11+Stigninger!D5</f>
        <v>107.83999999999999</v>
      </c>
      <c r="E11" s="112">
        <f>D11+Stigninger!E5</f>
        <v>110.99</v>
      </c>
      <c r="G11" s="37"/>
      <c r="H11" s="37"/>
      <c r="I11" s="37"/>
      <c r="J11" s="50"/>
      <c r="K11" s="50"/>
      <c r="L11" s="50"/>
      <c r="M11" s="50"/>
      <c r="N11" s="50"/>
    </row>
    <row r="12" spans="1:14" ht="15.75" x14ac:dyDescent="0.25">
      <c r="A12" s="530"/>
      <c r="B12" s="531"/>
      <c r="C12" s="531"/>
      <c r="D12" s="531"/>
      <c r="E12" s="532"/>
      <c r="G12" s="37"/>
      <c r="H12" s="37"/>
      <c r="I12" s="37"/>
      <c r="J12" s="50"/>
      <c r="K12" s="50"/>
      <c r="L12" s="50"/>
      <c r="M12" s="50"/>
      <c r="N12" s="50"/>
    </row>
    <row r="13" spans="1:14" ht="15.75" x14ac:dyDescent="0.25">
      <c r="A13" s="24" t="str">
        <f>Stigninger!A9</f>
        <v>Kursustillæg</v>
      </c>
      <c r="B13" s="43">
        <f>Stigninger!B9</f>
        <v>1</v>
      </c>
      <c r="C13" s="42">
        <f>B13+Stigninger!C9</f>
        <v>1</v>
      </c>
      <c r="D13" s="222">
        <f>C13+Stigninger!D9</f>
        <v>1</v>
      </c>
      <c r="E13" s="40">
        <f>D13+Stigninger!E9</f>
        <v>1</v>
      </c>
      <c r="G13" s="37"/>
      <c r="H13" s="37"/>
      <c r="I13" s="37"/>
      <c r="J13" s="50"/>
      <c r="K13" s="50"/>
      <c r="L13" s="50"/>
      <c r="M13" s="50"/>
      <c r="N13" s="50"/>
    </row>
    <row r="14" spans="1:14" ht="15.75" x14ac:dyDescent="0.25">
      <c r="A14" s="55" t="str">
        <f>Stigninger!A10</f>
        <v>Mentortillæg</v>
      </c>
      <c r="B14" s="31">
        <f>Stigninger!B10</f>
        <v>2</v>
      </c>
      <c r="C14" s="12">
        <f>B14+Stigninger!C10</f>
        <v>2</v>
      </c>
      <c r="D14" s="224">
        <f>C14+Stigninger!D10</f>
        <v>2</v>
      </c>
      <c r="E14" s="33">
        <f>D14+Stigninger!E10</f>
        <v>2</v>
      </c>
      <c r="G14" s="37"/>
      <c r="H14" s="37"/>
      <c r="I14" s="37"/>
      <c r="J14" s="50"/>
      <c r="K14" s="50"/>
      <c r="L14" s="50"/>
      <c r="M14" s="50"/>
      <c r="N14" s="50"/>
    </row>
    <row r="15" spans="1:14" x14ac:dyDescent="0.2">
      <c r="A15" s="529" t="str">
        <f>Stigninger!A13</f>
        <v>Overarbejdstillæg</v>
      </c>
      <c r="B15" s="524"/>
      <c r="C15" s="524"/>
      <c r="D15" s="524"/>
      <c r="E15" s="525"/>
      <c r="G15" s="37"/>
      <c r="H15" s="37"/>
      <c r="I15" s="37"/>
      <c r="J15" s="50"/>
      <c r="K15" s="50"/>
      <c r="L15" s="50"/>
      <c r="M15" s="50"/>
      <c r="N15" s="50"/>
    </row>
    <row r="16" spans="1:14" x14ac:dyDescent="0.2">
      <c r="A16" s="526"/>
      <c r="B16" s="527"/>
      <c r="C16" s="527"/>
      <c r="D16" s="527"/>
      <c r="E16" s="528"/>
      <c r="G16" s="50"/>
      <c r="H16" s="50"/>
      <c r="I16" s="50"/>
      <c r="J16" s="50"/>
      <c r="K16" s="50"/>
      <c r="L16" s="50"/>
      <c r="M16" s="50"/>
      <c r="N16" s="50"/>
    </row>
    <row r="17" spans="1:14" ht="45" x14ac:dyDescent="0.2">
      <c r="A17" s="409" t="str">
        <f>Stigninger!A15</f>
        <v>1. time efter normalarbejdstid og ved arbejde før normal arbejdstid i tidsrummet kl. 06.00-19.00</v>
      </c>
      <c r="B17" s="66">
        <f>Stigninger!B15</f>
        <v>39.569999999999993</v>
      </c>
      <c r="C17" s="251">
        <f>B17+Stigninger!C15</f>
        <v>40.199999999999996</v>
      </c>
      <c r="D17" s="6">
        <f>C17+Stigninger!D15+0.01</f>
        <v>40.849999999999994</v>
      </c>
      <c r="E17" s="7">
        <f>D17+Stigninger!E15</f>
        <v>41.499999999999993</v>
      </c>
      <c r="G17" s="52"/>
      <c r="H17" s="52"/>
      <c r="I17" s="52"/>
      <c r="J17" s="50"/>
      <c r="K17" s="37"/>
      <c r="L17" s="37"/>
      <c r="M17" s="37"/>
      <c r="N17" s="37"/>
    </row>
    <row r="18" spans="1:14" x14ac:dyDescent="0.2">
      <c r="A18" s="403" t="str">
        <f>Stigninger!A16</f>
        <v>2. til 4. time efter normalarbejdstid</v>
      </c>
      <c r="B18" s="28">
        <f>Stigninger!B16</f>
        <v>57.39</v>
      </c>
      <c r="C18" s="251">
        <f>B18+Stigninger!C16</f>
        <v>58.31</v>
      </c>
      <c r="D18" s="6">
        <f>C18+Stigninger!D16</f>
        <v>59.24</v>
      </c>
      <c r="E18" s="7">
        <f>D18+Stigninger!E16</f>
        <v>60.190000000000005</v>
      </c>
      <c r="G18" s="52"/>
      <c r="H18" s="52"/>
      <c r="I18" s="50"/>
      <c r="J18" s="50"/>
      <c r="K18" s="37"/>
      <c r="L18" s="37"/>
      <c r="M18" s="37"/>
      <c r="N18" s="37"/>
    </row>
    <row r="19" spans="1:14" ht="60" x14ac:dyDescent="0.2">
      <c r="A19" s="413" t="str">
        <f>Stigninger!A17</f>
        <v>5. time efter normalarbejdstid og derefter og søn- og helligdage efter kl. 12.00 og ved arbejde før normal arbejdstid i tidsrummet kl. 06.00-19.00</v>
      </c>
      <c r="B19" s="31">
        <f>Stigninger!B17</f>
        <v>107.41999999999997</v>
      </c>
      <c r="C19" s="195">
        <f>B19+Stigninger!C17</f>
        <v>109.13999999999997</v>
      </c>
      <c r="D19" s="11">
        <f>C19+Stigninger!D17</f>
        <v>110.88999999999997</v>
      </c>
      <c r="E19" s="33">
        <f>D19+Stigninger!E17+0.01</f>
        <v>112.66999999999997</v>
      </c>
      <c r="G19" s="52"/>
      <c r="H19" s="52"/>
      <c r="I19" s="50"/>
      <c r="J19" s="50"/>
      <c r="K19" s="37"/>
      <c r="L19" s="37"/>
      <c r="M19" s="37"/>
      <c r="N19" s="37"/>
    </row>
    <row r="20" spans="1:14" x14ac:dyDescent="0.2">
      <c r="A20" s="523" t="str">
        <f>Stigninger!A18</f>
        <v>Arbejde på tilsikret hel hverdagsfridag</v>
      </c>
      <c r="B20" s="524"/>
      <c r="C20" s="524"/>
      <c r="D20" s="524"/>
      <c r="E20" s="525"/>
    </row>
    <row r="21" spans="1:14" x14ac:dyDescent="0.2">
      <c r="A21" s="526"/>
      <c r="B21" s="527"/>
      <c r="C21" s="527"/>
      <c r="D21" s="527"/>
      <c r="E21" s="528"/>
    </row>
    <row r="22" spans="1:14" x14ac:dyDescent="0.2">
      <c r="A22" s="405" t="str">
        <f>Stigninger!A20</f>
        <v>Timer mellem kl. 06.00 til kl. 19.00</v>
      </c>
      <c r="B22" s="43">
        <f>Stigninger!B20</f>
        <v>57.39</v>
      </c>
      <c r="C22" s="188">
        <f>B22+Stigninger!C20</f>
        <v>58.31</v>
      </c>
      <c r="D22" s="222">
        <f>C22+Stigninger!D20</f>
        <v>59.24</v>
      </c>
      <c r="E22" s="40">
        <f>D22+Stigninger!E20</f>
        <v>60.190000000000005</v>
      </c>
    </row>
    <row r="23" spans="1:14" x14ac:dyDescent="0.2">
      <c r="A23" s="404" t="str">
        <f>Stigninger!A21</f>
        <v>Timer mellem kl. 19.00 til kl. 06.00</v>
      </c>
      <c r="B23" s="31">
        <f>Stigninger!B21</f>
        <v>107.41999999999997</v>
      </c>
      <c r="C23" s="195">
        <f>B23+Stigninger!C21</f>
        <v>109.13999999999997</v>
      </c>
      <c r="D23" s="224">
        <f>C23+Stigninger!D21</f>
        <v>110.88999999999997</v>
      </c>
      <c r="E23" s="33">
        <f>D23+Stigninger!E21+0.01</f>
        <v>112.66999999999997</v>
      </c>
    </row>
    <row r="24" spans="1:14" x14ac:dyDescent="0.2">
      <c r="A24" s="523" t="str">
        <f>Stigninger!A22</f>
        <v>Arbejde på søn- og helligdage</v>
      </c>
      <c r="B24" s="524"/>
      <c r="C24" s="524"/>
      <c r="D24" s="524"/>
      <c r="E24" s="525"/>
    </row>
    <row r="25" spans="1:14" x14ac:dyDescent="0.2">
      <c r="A25" s="526"/>
      <c r="B25" s="527"/>
      <c r="C25" s="527"/>
      <c r="D25" s="527"/>
      <c r="E25" s="528"/>
    </row>
    <row r="26" spans="1:14" ht="30" x14ac:dyDescent="0.2">
      <c r="A26" s="415" t="str">
        <f>Stigninger!A24</f>
        <v>Fra daglig normal hverdagsarbejdstid til kl 12.00</v>
      </c>
      <c r="B26" s="28">
        <f>Stigninger!B24</f>
        <v>71.570000000000007</v>
      </c>
      <c r="C26" s="251">
        <f>B26+Stigninger!C24</f>
        <v>72.720000000000013</v>
      </c>
      <c r="D26" s="223">
        <f>C26+Stigninger!D24</f>
        <v>73.88000000000001</v>
      </c>
      <c r="E26" s="7">
        <f>D26+Stigninger!E24</f>
        <v>75.060000000000016</v>
      </c>
    </row>
    <row r="27" spans="1:14" ht="30" x14ac:dyDescent="0.2">
      <c r="A27" s="415" t="str">
        <f>Stigninger!A25</f>
        <v>Fra kl. 12.00 til normal hverdagsarbejdstids begyndelse</v>
      </c>
      <c r="B27" s="28">
        <f>Stigninger!B26</f>
        <v>107.41999999999997</v>
      </c>
      <c r="C27" s="251">
        <f>B27+Stigninger!C25</f>
        <v>109.13999999999997</v>
      </c>
      <c r="D27" s="223">
        <f>C27+Stigninger!D25</f>
        <v>110.88999999999997</v>
      </c>
      <c r="E27" s="7">
        <f>D27+Stigninger!E25+0.01</f>
        <v>112.66999999999997</v>
      </c>
    </row>
    <row r="28" spans="1:14" ht="30" x14ac:dyDescent="0.2">
      <c r="A28" s="415" t="str">
        <f>Stigninger!A26</f>
        <v>Om morgenen forud for normal hverdagsarbejdstids begyndelse</v>
      </c>
      <c r="B28" s="31">
        <f>Stigninger!B26</f>
        <v>107.41999999999997</v>
      </c>
      <c r="C28" s="195">
        <f>B28+Stigninger!C26</f>
        <v>109.13999999999997</v>
      </c>
      <c r="D28" s="224">
        <f>C28+Stigninger!D26</f>
        <v>110.88999999999997</v>
      </c>
      <c r="E28" s="33">
        <f>D28+Stigninger!E26+0.01</f>
        <v>112.66999999999997</v>
      </c>
    </row>
    <row r="29" spans="1:14" x14ac:dyDescent="0.2">
      <c r="A29" s="529" t="str">
        <f>Stigninger!A27</f>
        <v>Forskudttidstillæg</v>
      </c>
      <c r="B29" s="524"/>
      <c r="C29" s="524"/>
      <c r="D29" s="524"/>
      <c r="E29" s="525"/>
    </row>
    <row r="30" spans="1:14" x14ac:dyDescent="0.2">
      <c r="A30" s="526"/>
      <c r="B30" s="527"/>
      <c r="C30" s="527"/>
      <c r="D30" s="527"/>
      <c r="E30" s="528"/>
    </row>
    <row r="31" spans="1:14" x14ac:dyDescent="0.2">
      <c r="A31" s="405" t="str">
        <f>Stigninger!A29</f>
        <v>Kl. 19.00 til kl. 22.00</v>
      </c>
      <c r="B31" s="43">
        <f>Stigninger!B29</f>
        <v>25.08</v>
      </c>
      <c r="C31" s="42">
        <f>B31+Stigninger!C29</f>
        <v>25.479999999999997</v>
      </c>
      <c r="D31" s="222">
        <f>C31+Stigninger!D29</f>
        <v>25.889999999999997</v>
      </c>
      <c r="E31" s="40">
        <f>D31+Stigninger!E29+0.01</f>
        <v>26.31</v>
      </c>
    </row>
    <row r="32" spans="1:14" ht="15" customHeight="1" x14ac:dyDescent="0.2">
      <c r="A32" s="416" t="str">
        <f>Stigninger!A30</f>
        <v>Kl. 22.00 til kl. 06.00</v>
      </c>
      <c r="B32" s="28">
        <f>Stigninger!B30</f>
        <v>40.65</v>
      </c>
      <c r="C32" s="10">
        <f>B32+Stigninger!C30</f>
        <v>41.3</v>
      </c>
      <c r="D32" s="223">
        <f>C32+Stigninger!D30</f>
        <v>41.959999999999994</v>
      </c>
      <c r="E32" s="7">
        <f>D32+Stigninger!E30</f>
        <v>42.629999999999995</v>
      </c>
    </row>
    <row r="33" spans="1:5" ht="15" customHeight="1" x14ac:dyDescent="0.2">
      <c r="A33" s="506" t="str">
        <f>Stigninger!A31</f>
        <v>(påbegyndt inden kl. 24.00)</v>
      </c>
      <c r="B33" s="28"/>
      <c r="C33" s="10"/>
      <c r="D33" s="223"/>
      <c r="E33" s="7"/>
    </row>
    <row r="34" spans="1:5" ht="15" customHeight="1" x14ac:dyDescent="0.2">
      <c r="A34" s="416" t="str">
        <f>Stigninger!A32</f>
        <v>Kl. 24.00 til kl. 06.00</v>
      </c>
      <c r="B34" s="28">
        <f>Stigninger!B32</f>
        <v>49.43</v>
      </c>
      <c r="C34" s="10">
        <f>B34+Stigninger!C32</f>
        <v>50.22</v>
      </c>
      <c r="D34" s="223">
        <f>C34+Stigninger!D32</f>
        <v>51.019999999999996</v>
      </c>
      <c r="E34" s="7">
        <f>D34+Stigninger!E32</f>
        <v>51.839999999999996</v>
      </c>
    </row>
    <row r="35" spans="1:5" ht="15" customHeight="1" x14ac:dyDescent="0.2">
      <c r="A35" s="507" t="str">
        <f>Stigninger!A33</f>
        <v>(påbegyndt efter kl. 24.00)</v>
      </c>
      <c r="B35" s="31"/>
      <c r="C35" s="12"/>
      <c r="D35" s="224"/>
      <c r="E35" s="33"/>
    </row>
    <row r="36" spans="1:5" ht="15" customHeight="1" x14ac:dyDescent="0.2">
      <c r="A36" s="509"/>
      <c r="B36" s="19"/>
      <c r="C36" s="19"/>
      <c r="D36" s="19"/>
      <c r="E36" s="71"/>
    </row>
    <row r="37" spans="1:5" ht="15.75" x14ac:dyDescent="0.25">
      <c r="A37" s="249" t="str">
        <f>Stigninger!A35</f>
        <v>Varslingstilllæg</v>
      </c>
      <c r="B37" s="43">
        <f>Stigninger!B35</f>
        <v>71.040000000000006</v>
      </c>
      <c r="C37" s="188">
        <f>B37+Stigninger!C35</f>
        <v>71.040000000000006</v>
      </c>
      <c r="D37" s="222">
        <f>C37+Stigninger!D35</f>
        <v>71.040000000000006</v>
      </c>
      <c r="E37" s="40">
        <f>D37+Stigninger!E35</f>
        <v>71.040000000000006</v>
      </c>
    </row>
    <row r="38" spans="1:5" ht="15.75" x14ac:dyDescent="0.25">
      <c r="A38" s="250" t="str">
        <f>Stigninger!A36</f>
        <v>Smudstillæg</v>
      </c>
      <c r="B38" s="31">
        <f>Stigninger!B36</f>
        <v>5.47</v>
      </c>
      <c r="C38" s="195">
        <f>B38+Stigninger!C36</f>
        <v>5.56</v>
      </c>
      <c r="D38" s="224">
        <f>C38+Stigninger!D36+0.01</f>
        <v>5.6599999999999993</v>
      </c>
      <c r="E38" s="33">
        <f>D38+Stigninger!E36</f>
        <v>5.7399999999999993</v>
      </c>
    </row>
    <row r="39" spans="1:5" x14ac:dyDescent="0.2">
      <c r="A39" s="523" t="str">
        <f>Stigninger!A37</f>
        <v>Fratrædelsesgodtgørelse</v>
      </c>
      <c r="B39" s="524"/>
      <c r="C39" s="524"/>
      <c r="D39" s="524"/>
      <c r="E39" s="525"/>
    </row>
    <row r="40" spans="1:5" x14ac:dyDescent="0.2">
      <c r="A40" s="526"/>
      <c r="B40" s="527"/>
      <c r="C40" s="527"/>
      <c r="D40" s="527"/>
      <c r="E40" s="528"/>
    </row>
    <row r="41" spans="1:5" x14ac:dyDescent="0.2">
      <c r="A41" s="406" t="str">
        <f>Stigninger!A39</f>
        <v>Efter 3 års ansættelse</v>
      </c>
      <c r="B41" s="92">
        <f>Stigninger!B39</f>
        <v>5000</v>
      </c>
      <c r="C41" s="355">
        <f>B41+Stigninger!C39</f>
        <v>5000</v>
      </c>
      <c r="D41" s="353">
        <f>C41+Stigninger!D39</f>
        <v>5000</v>
      </c>
      <c r="E41" s="94">
        <f>D41+Stigninger!E39</f>
        <v>5000</v>
      </c>
    </row>
    <row r="42" spans="1:5" x14ac:dyDescent="0.2">
      <c r="A42" s="407" t="str">
        <f>Stigninger!A40</f>
        <v>Efter 6 års ansættelse</v>
      </c>
      <c r="B42" s="363">
        <f>Stigninger!B40</f>
        <v>10000</v>
      </c>
      <c r="C42" s="365">
        <f>B42+Stigninger!C40</f>
        <v>10000</v>
      </c>
      <c r="D42" s="383">
        <f>C42+Stigninger!D40</f>
        <v>10000</v>
      </c>
      <c r="E42" s="96">
        <f>D42+Stigninger!E40</f>
        <v>10000</v>
      </c>
    </row>
    <row r="43" spans="1:5" x14ac:dyDescent="0.2">
      <c r="A43" s="408" t="str">
        <f>Stigninger!A41</f>
        <v>Efter 8 års ansættelse</v>
      </c>
      <c r="B43" s="46">
        <f>Stigninger!B41</f>
        <v>15000</v>
      </c>
      <c r="C43" s="356">
        <f>B43+Stigninger!C41</f>
        <v>15000</v>
      </c>
      <c r="D43" s="354">
        <f>C43+Stigninger!D41</f>
        <v>15000</v>
      </c>
      <c r="E43" s="48">
        <f>D43+Stigninger!E41</f>
        <v>15000</v>
      </c>
    </row>
    <row r="44" spans="1:5" ht="15.75" x14ac:dyDescent="0.25">
      <c r="A44" s="533"/>
      <c r="B44" s="531"/>
      <c r="C44" s="531"/>
      <c r="D44" s="531"/>
      <c r="E44" s="532"/>
    </row>
    <row r="45" spans="1:5" ht="15.75" x14ac:dyDescent="0.25">
      <c r="A45" s="292" t="str">
        <f>Stigninger!A43</f>
        <v>Frihedskonto</v>
      </c>
      <c r="B45" s="360">
        <f>Stigninger!B43</f>
        <v>6.7500000000000004E-2</v>
      </c>
      <c r="C45" s="359">
        <f>B45+Stigninger!C43</f>
        <v>6.7500000000000004E-2</v>
      </c>
      <c r="D45" s="393">
        <f>C45+Stigninger!D43</f>
        <v>6.7500000000000004E-2</v>
      </c>
      <c r="E45" s="358">
        <f>D45+Stigninger!E43</f>
        <v>6.7500000000000004E-2</v>
      </c>
    </row>
    <row r="46" spans="1:5" ht="15.75" x14ac:dyDescent="0.25">
      <c r="A46" s="397" t="str">
        <f>Stigninger!A44</f>
        <v>Særlig opsparing</v>
      </c>
      <c r="B46" s="360">
        <f>Stigninger!B44</f>
        <v>0.03</v>
      </c>
      <c r="C46" s="359">
        <f>B46+Stigninger!C44</f>
        <v>0.04</v>
      </c>
      <c r="D46" s="398">
        <f>C46+Stigninger!D44</f>
        <v>0.05</v>
      </c>
      <c r="E46" s="358">
        <f>D46+Stigninger!E44</f>
        <v>6.0000000000000005E-2</v>
      </c>
    </row>
    <row r="47" spans="1:5" x14ac:dyDescent="0.2">
      <c r="A47" s="529" t="str">
        <f>Stigninger!A45</f>
        <v>Pension</v>
      </c>
      <c r="B47" s="524"/>
      <c r="C47" s="524"/>
      <c r="D47" s="524"/>
      <c r="E47" s="525"/>
    </row>
    <row r="48" spans="1:5" x14ac:dyDescent="0.2">
      <c r="A48" s="526"/>
      <c r="B48" s="527"/>
      <c r="C48" s="527"/>
      <c r="D48" s="527"/>
      <c r="E48" s="528"/>
    </row>
    <row r="49" spans="1:5" x14ac:dyDescent="0.2">
      <c r="A49" s="405" t="str">
        <f>Stigninger!A47</f>
        <v>Arbejdsgivers pensionsbidrag</v>
      </c>
      <c r="B49" s="83">
        <f>Stigninger!B47</f>
        <v>0.08</v>
      </c>
      <c r="C49" s="82">
        <f>B49+Stigninger!C47</f>
        <v>0.08</v>
      </c>
      <c r="D49" s="229">
        <f>C49+Stigninger!D47</f>
        <v>0.08</v>
      </c>
      <c r="E49" s="81">
        <f>D49+Stigninger!E47</f>
        <v>0.08</v>
      </c>
    </row>
    <row r="50" spans="1:5" x14ac:dyDescent="0.2">
      <c r="A50" s="402" t="str">
        <f>Stigninger!A48</f>
        <v>Lønmodtagers pensionsbidrag</v>
      </c>
      <c r="B50" s="84">
        <f>B49/2</f>
        <v>0.04</v>
      </c>
      <c r="C50" s="85">
        <f>C49/2</f>
        <v>0.04</v>
      </c>
      <c r="D50" s="236">
        <f>D49/2</f>
        <v>0.04</v>
      </c>
      <c r="E50" s="87">
        <f>E49/2</f>
        <v>0.04</v>
      </c>
    </row>
    <row r="51" spans="1:5" ht="15.75" x14ac:dyDescent="0.25">
      <c r="A51" s="8" t="str">
        <f>Stigninger!A49</f>
        <v>Pensionsbidrag i alt</v>
      </c>
      <c r="B51" s="32">
        <f>SUM(B49:B50)</f>
        <v>0.12</v>
      </c>
      <c r="C51" s="88">
        <f>SUM(C49:C50)</f>
        <v>0.12</v>
      </c>
      <c r="D51" s="238">
        <f>SUM(D49:D50)</f>
        <v>0.12</v>
      </c>
      <c r="E51" s="90">
        <f>SUM(E49:E50)</f>
        <v>0.12</v>
      </c>
    </row>
  </sheetData>
  <sheetProtection algorithmName="SHA-512" hashValue="CQhgRpfToBx0AzRwmnaM7oRtE3dseiwwE4wVal+M6EVPZlBlVS/oMMnQPNlA74l/LkMEfrBH0NaZ+yyWgAtKhw==" saltValue="gLf2853AfTRK07gAY3/oSA==" spinCount="100000" sheet="1" objects="1" scenarios="1"/>
  <mergeCells count="10">
    <mergeCell ref="A44:E44"/>
    <mergeCell ref="A47:E48"/>
    <mergeCell ref="A39:E40"/>
    <mergeCell ref="A8:E8"/>
    <mergeCell ref="A10:E10"/>
    <mergeCell ref="A12:E12"/>
    <mergeCell ref="A15:E16"/>
    <mergeCell ref="A20:E21"/>
    <mergeCell ref="A29:E30"/>
    <mergeCell ref="A24:E25"/>
  </mergeCells>
  <phoneticPr fontId="0" type="noConversion"/>
  <pageMargins left="0.78740157480314965" right="0.78740157480314965" top="1.3779527559055118" bottom="0.59055118110236227" header="0.59055118110236227" footer="0.39370078740157483"/>
  <pageSetup paperSize="9" orientation="portrait" r:id="rId1"/>
  <headerFooter alignWithMargins="0">
    <oddHeader>&amp;L&amp;"Arial,Fed"&amp;16 3F&amp;C&amp;"Arial,Fed"&amp;16Vaskerioverenskomst 2017-2020
&amp;A&amp;R&amp;"Arial,Fed"&amp;16DIO II (ADV)</oddHeader>
    <oddFooter>&amp;L&amp;9&amp;F&amp;R&amp;9&amp;D, kl. &amp;T</oddFooter>
  </headerFooter>
  <rowBreaks count="1" manualBreakCount="1">
    <brk id="36" max="16383" man="1"/>
  </rowBreaks>
  <ignoredErrors>
    <ignoredError sqref="B6:E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7"/>
  <sheetViews>
    <sheetView showGridLines="0" zoomScale="159" zoomScaleNormal="159" zoomScalePageLayoutView="200" workbookViewId="0">
      <selection activeCell="A2" sqref="A2:H2"/>
    </sheetView>
  </sheetViews>
  <sheetFormatPr defaultColWidth="9" defaultRowHeight="15.75" x14ac:dyDescent="0.25"/>
  <cols>
    <col min="1" max="1" width="42.42578125" style="97" customWidth="1"/>
    <col min="2" max="2" width="16.7109375" style="97" customWidth="1"/>
    <col min="3" max="3" width="1" style="97" customWidth="1"/>
    <col min="4" max="4" width="16.7109375" style="97" customWidth="1"/>
    <col min="5" max="5" width="1" style="97" customWidth="1"/>
    <col min="6" max="6" width="16.7109375" style="97" customWidth="1"/>
    <col min="7" max="7" width="2.7109375" style="97" customWidth="1"/>
    <col min="8" max="8" width="15.7109375" style="97" hidden="1" customWidth="1"/>
    <col min="9" max="16384" width="9" style="97"/>
  </cols>
  <sheetData>
    <row r="1" spans="1:9" ht="20.25" customHeight="1" x14ac:dyDescent="0.3">
      <c r="A1" s="549" t="s">
        <v>52</v>
      </c>
      <c r="B1" s="550"/>
      <c r="C1" s="550"/>
      <c r="D1" s="550"/>
      <c r="E1" s="550"/>
      <c r="F1" s="550"/>
    </row>
    <row r="2" spans="1:9" ht="20.25" customHeight="1" x14ac:dyDescent="0.3">
      <c r="A2" s="549" t="s">
        <v>48</v>
      </c>
      <c r="B2" s="550"/>
      <c r="C2" s="550"/>
      <c r="D2" s="550"/>
      <c r="E2" s="550"/>
      <c r="F2" s="550"/>
    </row>
    <row r="3" spans="1:9" ht="20.25" customHeight="1" x14ac:dyDescent="0.3">
      <c r="A3" s="549" t="s">
        <v>100</v>
      </c>
      <c r="B3" s="549"/>
      <c r="C3" s="549"/>
      <c r="D3" s="549"/>
      <c r="E3" s="549"/>
      <c r="F3" s="549"/>
    </row>
    <row r="4" spans="1:9" ht="15" customHeight="1" x14ac:dyDescent="0.25">
      <c r="A4" s="551" t="s">
        <v>17</v>
      </c>
      <c r="B4" s="551"/>
      <c r="C4" s="551"/>
      <c r="D4" s="551"/>
      <c r="E4" s="551"/>
      <c r="F4" s="551"/>
      <c r="G4" s="364"/>
      <c r="H4" s="364"/>
    </row>
    <row r="5" spans="1:9" ht="15" customHeight="1" x14ac:dyDescent="0.25">
      <c r="A5" s="548"/>
      <c r="B5" s="548"/>
      <c r="C5" s="548"/>
      <c r="D5" s="548"/>
      <c r="E5" s="548"/>
      <c r="F5" s="548"/>
    </row>
    <row r="6" spans="1:9" ht="15" customHeight="1" x14ac:dyDescent="0.25">
      <c r="A6" s="165"/>
      <c r="B6" s="166" t="s">
        <v>95</v>
      </c>
      <c r="C6" s="166"/>
      <c r="D6" s="166" t="s">
        <v>96</v>
      </c>
      <c r="E6" s="166"/>
      <c r="F6" s="166" t="s">
        <v>97</v>
      </c>
      <c r="G6" s="49"/>
      <c r="H6" s="166" t="s">
        <v>98</v>
      </c>
      <c r="I6" s="49"/>
    </row>
    <row r="7" spans="1:9" ht="15" customHeight="1" x14ac:dyDescent="0.25">
      <c r="A7" s="377" t="str">
        <f>Resultat!A3</f>
        <v>Timeløn for voksne</v>
      </c>
      <c r="B7" s="357">
        <f>Resultat!C3</f>
        <v>130.94999999999999</v>
      </c>
      <c r="C7" s="357"/>
      <c r="D7" s="357">
        <f>Resultat!D3</f>
        <v>134.14999999999998</v>
      </c>
      <c r="E7" s="357"/>
      <c r="F7" s="357">
        <f>Resultat!E3</f>
        <v>137.29999999999998</v>
      </c>
      <c r="G7" s="49"/>
      <c r="H7" s="357">
        <f>Resultat!B3</f>
        <v>127.74999999999999</v>
      </c>
      <c r="I7" s="49"/>
    </row>
    <row r="8" spans="1:9" ht="15" customHeight="1" x14ac:dyDescent="0.25">
      <c r="A8" s="170" t="str">
        <f>Resultat!A4</f>
        <v>Vaskeritillæg</v>
      </c>
      <c r="B8" s="378">
        <f>Resultat!C4</f>
        <v>4.9499999999999993</v>
      </c>
      <c r="C8" s="357"/>
      <c r="D8" s="378">
        <f>Resultat!D4</f>
        <v>4.9499999999999993</v>
      </c>
      <c r="E8" s="357"/>
      <c r="F8" s="378">
        <f>Resultat!E4</f>
        <v>4.9499999999999993</v>
      </c>
      <c r="G8" s="49"/>
      <c r="H8" s="378">
        <f>Resultat!B4</f>
        <v>4.9499999999999993</v>
      </c>
      <c r="I8" s="49"/>
    </row>
    <row r="9" spans="1:9" ht="15" customHeight="1" x14ac:dyDescent="0.25">
      <c r="A9" s="165" t="str">
        <f>Resultat!A5</f>
        <v>Timeløn i alt</v>
      </c>
      <c r="B9" s="357">
        <f>SUM(B7:B8)</f>
        <v>135.89999999999998</v>
      </c>
      <c r="C9" s="357"/>
      <c r="D9" s="357">
        <f>SUM(D7:D8)</f>
        <v>139.09999999999997</v>
      </c>
      <c r="E9" s="357"/>
      <c r="F9" s="357">
        <f>SUM(F7:F8)</f>
        <v>142.24999999999997</v>
      </c>
      <c r="G9" s="49"/>
      <c r="H9" s="357">
        <f>SUM(H7:H8)</f>
        <v>132.69999999999999</v>
      </c>
      <c r="I9" s="49"/>
    </row>
    <row r="10" spans="1:9" ht="15" customHeight="1" x14ac:dyDescent="0.25">
      <c r="A10" s="171" t="str">
        <f>Resultat!A6</f>
        <v>Anciennitetstillæg efter 12 måneder</v>
      </c>
      <c r="B10" s="378">
        <f>Resultat!C6</f>
        <v>9.1999999999999993</v>
      </c>
      <c r="C10" s="357"/>
      <c r="D10" s="378">
        <f>Resultat!D6</f>
        <v>9.1999999999999993</v>
      </c>
      <c r="E10" s="357"/>
      <c r="F10" s="378">
        <f>Resultat!E6</f>
        <v>9.1999999999999993</v>
      </c>
      <c r="G10" s="49"/>
      <c r="H10" s="378">
        <f>Resultat!B6</f>
        <v>9.1999999999999993</v>
      </c>
      <c r="I10" s="49"/>
    </row>
    <row r="11" spans="1:9" ht="15" customHeight="1" x14ac:dyDescent="0.25">
      <c r="A11" s="169" t="str">
        <f>Resultat!A7</f>
        <v>Timeløn i alt efter 12 måneder</v>
      </c>
      <c r="B11" s="357">
        <f>SUM(B9:B10)</f>
        <v>145.09999999999997</v>
      </c>
      <c r="C11" s="357"/>
      <c r="D11" s="357">
        <f>SUM(D9:D10)</f>
        <v>148.29999999999995</v>
      </c>
      <c r="E11" s="357"/>
      <c r="F11" s="357">
        <f>SUM(F9:F10)</f>
        <v>151.44999999999996</v>
      </c>
      <c r="G11" s="49"/>
      <c r="H11" s="357">
        <f>SUM(H9:H10)</f>
        <v>141.89999999999998</v>
      </c>
      <c r="I11" s="49"/>
    </row>
    <row r="12" spans="1:9" ht="15" customHeight="1" x14ac:dyDescent="0.25">
      <c r="A12" s="50" t="s">
        <v>93</v>
      </c>
      <c r="B12" s="473">
        <f>B11*$B$59</f>
        <v>5.8039999999999985</v>
      </c>
      <c r="C12" s="473"/>
      <c r="D12" s="473">
        <f>D11*$D$59</f>
        <v>7.4149999999999983</v>
      </c>
      <c r="E12" s="473"/>
      <c r="F12" s="473">
        <f>F11*$F$59</f>
        <v>9.086999999999998</v>
      </c>
      <c r="G12" s="49"/>
      <c r="H12" s="473">
        <f>H11*Resultat!B46</f>
        <v>4.2569999999999988</v>
      </c>
      <c r="I12" s="49"/>
    </row>
    <row r="13" spans="1:9" ht="16.5" customHeight="1" thickBot="1" x14ac:dyDescent="0.3">
      <c r="A13" s="278" t="s">
        <v>89</v>
      </c>
      <c r="B13" s="476">
        <f>SUM(B11:B12)</f>
        <v>150.90399999999997</v>
      </c>
      <c r="C13" s="475"/>
      <c r="D13" s="476">
        <f>SUM(D11:D12)</f>
        <v>155.71499999999995</v>
      </c>
      <c r="E13" s="475"/>
      <c r="F13" s="474">
        <f>SUM(F11:F12)</f>
        <v>160.53699999999995</v>
      </c>
      <c r="G13" s="49"/>
      <c r="H13" s="476">
        <f>SUM(H11:H12)</f>
        <v>146.15699999999998</v>
      </c>
      <c r="I13" s="49"/>
    </row>
    <row r="14" spans="1:9" ht="16.5" customHeight="1" thickTop="1" thickBot="1" x14ac:dyDescent="0.3">
      <c r="A14" s="278" t="s">
        <v>92</v>
      </c>
      <c r="B14" s="475"/>
      <c r="C14" s="521"/>
      <c r="D14" s="475"/>
      <c r="E14" s="521"/>
      <c r="F14" s="477">
        <f>F13-H13</f>
        <v>14.379999999999967</v>
      </c>
      <c r="G14" s="475"/>
      <c r="H14" s="475"/>
      <c r="I14" s="1"/>
    </row>
    <row r="15" spans="1:9" ht="15" customHeight="1" thickTop="1" x14ac:dyDescent="0.25">
      <c r="A15" s="278"/>
      <c r="B15" s="475"/>
      <c r="C15" s="521"/>
      <c r="D15" s="475"/>
      <c r="E15" s="521"/>
      <c r="F15" s="475"/>
      <c r="G15" s="475"/>
      <c r="H15" s="475"/>
      <c r="I15" s="1"/>
    </row>
    <row r="16" spans="1:9" ht="15" customHeight="1" x14ac:dyDescent="0.25">
      <c r="A16" s="1" t="str">
        <f>Stigninger!A47</f>
        <v>Arbejdsgivers pensionsbidrag</v>
      </c>
      <c r="B16" s="473">
        <f>B13*B63</f>
        <v>12.072319999999998</v>
      </c>
      <c r="C16" s="473"/>
      <c r="D16" s="473">
        <f>D13*D63</f>
        <v>12.457199999999997</v>
      </c>
      <c r="E16" s="473"/>
      <c r="F16" s="473">
        <f>F13*F63</f>
        <v>12.842959999999996</v>
      </c>
      <c r="G16" s="49"/>
      <c r="H16" s="473">
        <f>H13*Resultat!B49</f>
        <v>11.692559999999999</v>
      </c>
      <c r="I16" s="49"/>
    </row>
    <row r="17" spans="1:14" ht="16.5" customHeight="1" thickBot="1" x14ac:dyDescent="0.3">
      <c r="A17" s="278" t="s">
        <v>91</v>
      </c>
      <c r="B17" s="476">
        <f>SUM(B13:B16)</f>
        <v>162.97631999999996</v>
      </c>
      <c r="C17" s="475"/>
      <c r="D17" s="476">
        <f>SUM(D13:D16)</f>
        <v>168.17219999999995</v>
      </c>
      <c r="E17" s="475"/>
      <c r="F17" s="476">
        <f>SUM(F13:F16)-F14</f>
        <v>173.37995999999995</v>
      </c>
      <c r="G17" s="49"/>
      <c r="H17" s="476">
        <f>SUM(H13:H16)</f>
        <v>157.84955999999997</v>
      </c>
      <c r="I17" s="49"/>
    </row>
    <row r="18" spans="1:14" ht="16.5" customHeight="1" thickTop="1" thickBot="1" x14ac:dyDescent="0.3">
      <c r="A18" s="278" t="s">
        <v>92</v>
      </c>
      <c r="B18" s="475"/>
      <c r="C18" s="475"/>
      <c r="D18" s="475"/>
      <c r="E18" s="475"/>
      <c r="F18" s="477">
        <f>F17-H17</f>
        <v>15.530399999999986</v>
      </c>
      <c r="G18" s="49"/>
      <c r="H18" s="49"/>
      <c r="I18" s="49"/>
    </row>
    <row r="19" spans="1:14" ht="15" customHeight="1" thickTop="1" x14ac:dyDescent="0.25">
      <c r="A19" s="165"/>
      <c r="B19" s="357"/>
      <c r="C19" s="357"/>
      <c r="D19" s="357"/>
      <c r="E19" s="357"/>
      <c r="F19" s="357"/>
      <c r="G19" s="147"/>
      <c r="H19" s="147"/>
      <c r="I19" s="147"/>
    </row>
    <row r="20" spans="1:14" ht="15" customHeight="1" x14ac:dyDescent="0.25">
      <c r="A20" s="168" t="str">
        <f>Resultat!A9</f>
        <v>Garantibetaling for voksne</v>
      </c>
      <c r="B20" s="357">
        <f>Resultat!C9</f>
        <v>135.89999999999998</v>
      </c>
      <c r="C20" s="357"/>
      <c r="D20" s="357">
        <f>Resultat!D9</f>
        <v>139.09999999999997</v>
      </c>
      <c r="E20" s="357"/>
      <c r="F20" s="357">
        <f>Resultat!E9</f>
        <v>142.24999999999997</v>
      </c>
    </row>
    <row r="21" spans="1:14" ht="15" customHeight="1" x14ac:dyDescent="0.25">
      <c r="A21" s="165"/>
      <c r="B21" s="357"/>
      <c r="C21" s="357"/>
      <c r="D21" s="357"/>
      <c r="E21" s="357"/>
      <c r="F21" s="357"/>
    </row>
    <row r="22" spans="1:14" ht="15" customHeight="1" x14ac:dyDescent="0.25">
      <c r="A22" s="165" t="str">
        <f>Resultat!A11</f>
        <v>Timeløn for unge under 18 år</v>
      </c>
      <c r="B22" s="357">
        <f>Resultat!C11</f>
        <v>104.63999999999999</v>
      </c>
      <c r="C22" s="357"/>
      <c r="D22" s="357">
        <f>Resultat!D11</f>
        <v>107.83999999999999</v>
      </c>
      <c r="E22" s="357"/>
      <c r="F22" s="357">
        <f>Resultat!E11</f>
        <v>110.99</v>
      </c>
      <c r="K22" s="147"/>
      <c r="L22" s="147"/>
      <c r="M22" s="147"/>
      <c r="N22" s="147"/>
    </row>
    <row r="23" spans="1:14" ht="15" customHeight="1" x14ac:dyDescent="0.25">
      <c r="A23" s="165"/>
      <c r="B23" s="167"/>
      <c r="C23" s="167"/>
      <c r="D23" s="167"/>
      <c r="E23" s="167"/>
      <c r="F23" s="167"/>
      <c r="K23" s="147"/>
      <c r="L23" s="147"/>
      <c r="M23" s="147"/>
      <c r="N23" s="147"/>
    </row>
    <row r="24" spans="1:14" ht="15" customHeight="1" x14ac:dyDescent="0.25">
      <c r="A24" s="410" t="str">
        <f>Resultat!A13</f>
        <v>Kursustillæg</v>
      </c>
      <c r="B24" s="357">
        <f>Resultat!C13</f>
        <v>1</v>
      </c>
      <c r="C24" s="357"/>
      <c r="D24" s="357">
        <f>Resultat!D13</f>
        <v>1</v>
      </c>
      <c r="E24" s="357"/>
      <c r="F24" s="357">
        <f>Resultat!E13</f>
        <v>1</v>
      </c>
      <c r="G24" s="148"/>
      <c r="H24" s="148"/>
      <c r="K24" s="147"/>
      <c r="L24" s="147"/>
      <c r="M24" s="147"/>
      <c r="N24" s="147"/>
    </row>
    <row r="25" spans="1:14" ht="15" customHeight="1" x14ac:dyDescent="0.25">
      <c r="A25" s="168" t="str">
        <f>Resultat!A14</f>
        <v>Mentortillæg</v>
      </c>
      <c r="B25" s="357">
        <f>Resultat!C14</f>
        <v>2</v>
      </c>
      <c r="C25" s="357"/>
      <c r="D25" s="357">
        <f>Resultat!D14</f>
        <v>2</v>
      </c>
      <c r="E25" s="357"/>
      <c r="F25" s="357">
        <f>Resultat!E14</f>
        <v>2</v>
      </c>
      <c r="G25" s="148"/>
      <c r="H25" s="148"/>
    </row>
    <row r="26" spans="1:14" ht="15" customHeight="1" x14ac:dyDescent="0.25">
      <c r="A26" s="168"/>
      <c r="B26" s="174"/>
      <c r="C26" s="174"/>
      <c r="D26" s="174"/>
      <c r="E26" s="174"/>
      <c r="F26" s="174"/>
      <c r="G26" s="148"/>
      <c r="H26" s="148"/>
    </row>
    <row r="27" spans="1:14" ht="15" customHeight="1" x14ac:dyDescent="0.25">
      <c r="A27" s="168" t="str">
        <f>Resultat!A15</f>
        <v>Overarbejdstillæg</v>
      </c>
      <c r="B27" s="174"/>
      <c r="C27" s="174"/>
      <c r="D27" s="174"/>
      <c r="E27" s="174"/>
      <c r="F27" s="174"/>
      <c r="G27" s="1"/>
      <c r="H27" s="1"/>
      <c r="I27" s="1"/>
    </row>
    <row r="28" spans="1:14" ht="45" customHeight="1" x14ac:dyDescent="0.25">
      <c r="A28" s="420" t="str">
        <f>Resultat!A17</f>
        <v>1. time efter normalarbejdstid og ved arbejde før normal arbejdstid i tidsrummet kl. 06.00-19.00</v>
      </c>
      <c r="B28" s="175">
        <f>Resultat!C17</f>
        <v>40.199999999999996</v>
      </c>
      <c r="C28" s="175"/>
      <c r="D28" s="175">
        <f>Resultat!D17</f>
        <v>40.849999999999994</v>
      </c>
      <c r="E28" s="175"/>
      <c r="F28" s="175">
        <f>Resultat!E17</f>
        <v>41.499999999999993</v>
      </c>
      <c r="G28" s="1"/>
      <c r="H28" s="1"/>
      <c r="I28" s="1"/>
    </row>
    <row r="29" spans="1:14" ht="15" customHeight="1" x14ac:dyDescent="0.25">
      <c r="A29" s="412" t="str">
        <f>Resultat!A18</f>
        <v>2. til 4. time efter normalarbejdstid</v>
      </c>
      <c r="B29" s="175">
        <f>Resultat!C18</f>
        <v>58.31</v>
      </c>
      <c r="C29" s="175"/>
      <c r="D29" s="175">
        <f>Resultat!D18</f>
        <v>59.24</v>
      </c>
      <c r="E29" s="175"/>
      <c r="F29" s="175">
        <f>Resultat!E18</f>
        <v>60.190000000000005</v>
      </c>
      <c r="G29" s="1"/>
      <c r="H29" s="1"/>
      <c r="I29" s="1"/>
    </row>
    <row r="30" spans="1:14" ht="60" customHeight="1" x14ac:dyDescent="0.25">
      <c r="A30" s="412" t="str">
        <f>Resultat!A19</f>
        <v>5. time efter normalarbejdstid og derefter og søn- og helligdage efter kl. 12.00 og ved arbejde før normal arbejdstid i tidsrummet kl. 06.00-19.00</v>
      </c>
      <c r="B30" s="175">
        <f>Resultat!C19</f>
        <v>109.13999999999997</v>
      </c>
      <c r="C30" s="175"/>
      <c r="D30" s="175">
        <f>Resultat!D19</f>
        <v>110.88999999999997</v>
      </c>
      <c r="E30" s="175"/>
      <c r="F30" s="175">
        <f>Resultat!E19</f>
        <v>112.66999999999997</v>
      </c>
      <c r="G30" s="1"/>
      <c r="H30" s="1"/>
      <c r="I30" s="1"/>
    </row>
    <row r="31" spans="1:14" ht="15" customHeight="1" x14ac:dyDescent="0.25">
      <c r="A31" s="412"/>
      <c r="B31" s="175"/>
      <c r="C31" s="175"/>
      <c r="D31" s="175"/>
      <c r="E31" s="175"/>
      <c r="F31" s="175"/>
      <c r="G31" s="1"/>
      <c r="H31" s="1"/>
      <c r="I31" s="1"/>
    </row>
    <row r="32" spans="1:14" ht="15" customHeight="1" x14ac:dyDescent="0.25">
      <c r="A32" s="372" t="str">
        <f>Resultat!A20</f>
        <v>Arbejde på tilsikret hel hverdagsfridag</v>
      </c>
      <c r="B32" s="37"/>
      <c r="C32" s="37"/>
      <c r="D32" s="50"/>
      <c r="E32" s="1"/>
      <c r="F32" s="1"/>
      <c r="G32" s="1"/>
      <c r="H32" s="1"/>
      <c r="I32" s="1"/>
    </row>
    <row r="33" spans="1:9" ht="15" customHeight="1" x14ac:dyDescent="0.25">
      <c r="A33" s="374" t="str">
        <f>Resultat!A22</f>
        <v>Timer mellem kl. 06.00 til kl. 19.00</v>
      </c>
      <c r="B33" s="373">
        <f>Resultat!C22</f>
        <v>58.31</v>
      </c>
      <c r="C33" s="373"/>
      <c r="D33" s="373">
        <f>Resultat!D22</f>
        <v>59.24</v>
      </c>
      <c r="E33" s="1"/>
      <c r="F33" s="373">
        <f>Resultat!E22</f>
        <v>60.190000000000005</v>
      </c>
      <c r="G33" s="1"/>
      <c r="H33" s="1"/>
      <c r="I33" s="1"/>
    </row>
    <row r="34" spans="1:9" ht="15" customHeight="1" x14ac:dyDescent="0.25">
      <c r="A34" s="374" t="str">
        <f>Resultat!A23</f>
        <v>Timer mellem kl. 19.00 til kl. 06.00</v>
      </c>
      <c r="B34" s="373">
        <f>Resultat!C23</f>
        <v>109.13999999999997</v>
      </c>
      <c r="C34" s="373"/>
      <c r="D34" s="373">
        <f>Resultat!D23</f>
        <v>110.88999999999997</v>
      </c>
      <c r="E34" s="1"/>
      <c r="F34" s="373">
        <f>Resultat!E23</f>
        <v>112.66999999999997</v>
      </c>
      <c r="G34" s="1"/>
      <c r="H34" s="1"/>
      <c r="I34" s="1"/>
    </row>
    <row r="35" spans="1:9" ht="15" customHeight="1" x14ac:dyDescent="0.25">
      <c r="A35" s="374"/>
      <c r="B35" s="373"/>
      <c r="C35" s="373"/>
      <c r="D35" s="373"/>
      <c r="E35" s="1"/>
      <c r="F35" s="373"/>
      <c r="G35" s="1"/>
      <c r="H35" s="1"/>
      <c r="I35" s="1"/>
    </row>
    <row r="36" spans="1:9" ht="15" customHeight="1" x14ac:dyDescent="0.25">
      <c r="A36" s="414" t="str">
        <f>Resultat!A24</f>
        <v>Arbejde på søn- og helligdage</v>
      </c>
      <c r="B36" s="373"/>
      <c r="C36" s="373"/>
      <c r="D36" s="373"/>
      <c r="E36" s="1"/>
      <c r="F36" s="1"/>
      <c r="G36" s="1"/>
      <c r="H36" s="1"/>
      <c r="I36" s="1"/>
    </row>
    <row r="37" spans="1:9" ht="30" customHeight="1" x14ac:dyDescent="0.25">
      <c r="A37" s="417" t="str">
        <f>Resultat!A26</f>
        <v>Fra daglig normal hverdagsarbejdstid til kl 12.00</v>
      </c>
      <c r="B37" s="373">
        <f>Resultat!C26</f>
        <v>72.720000000000013</v>
      </c>
      <c r="C37" s="373"/>
      <c r="D37" s="373">
        <f>Resultat!D26</f>
        <v>73.88000000000001</v>
      </c>
      <c r="E37" s="1"/>
      <c r="F37" s="373">
        <f>Resultat!E26</f>
        <v>75.060000000000016</v>
      </c>
    </row>
    <row r="38" spans="1:9" ht="15" customHeight="1" x14ac:dyDescent="0.25">
      <c r="A38" s="417" t="str">
        <f>Resultat!A27</f>
        <v>Fra kl. 12.00 til normal hverdagsarbejdstids begyndelse</v>
      </c>
      <c r="B38" s="373">
        <f>Resultat!C27</f>
        <v>109.13999999999997</v>
      </c>
      <c r="C38" s="373"/>
      <c r="D38" s="373">
        <f>Resultat!D27</f>
        <v>110.88999999999997</v>
      </c>
      <c r="E38" s="1"/>
      <c r="F38" s="373">
        <f>Resultat!E27</f>
        <v>112.66999999999997</v>
      </c>
    </row>
    <row r="39" spans="1:9" ht="30" customHeight="1" x14ac:dyDescent="0.25">
      <c r="A39" s="417" t="str">
        <f>Resultat!A28</f>
        <v>Om morgenen forud for normal hverdagsarbejdstids begyndelse</v>
      </c>
      <c r="B39" s="373">
        <f>Resultat!C28</f>
        <v>109.13999999999997</v>
      </c>
      <c r="C39" s="373"/>
      <c r="D39" s="373">
        <f>Resultat!D28</f>
        <v>110.88999999999997</v>
      </c>
      <c r="E39" s="1"/>
      <c r="F39" s="373">
        <f>Resultat!E28</f>
        <v>112.66999999999997</v>
      </c>
    </row>
    <row r="40" spans="1:9" ht="15" customHeight="1" x14ac:dyDescent="0.25">
      <c r="A40" s="417"/>
      <c r="B40" s="373"/>
      <c r="C40" s="373"/>
      <c r="D40" s="373"/>
      <c r="E40" s="1"/>
      <c r="F40" s="373"/>
    </row>
    <row r="41" spans="1:9" ht="15" customHeight="1" x14ac:dyDescent="0.25">
      <c r="A41" s="421" t="str">
        <f>Resultat!A29</f>
        <v>Forskudttidstillæg</v>
      </c>
      <c r="B41" s="166" t="str">
        <f>$B$6</f>
        <v>1. marts 2020</v>
      </c>
      <c r="C41" s="166"/>
      <c r="D41" s="166" t="str">
        <f>$D$6</f>
        <v>1. marts 2021</v>
      </c>
      <c r="E41" s="166"/>
      <c r="F41" s="166" t="str">
        <f>$F$6</f>
        <v>1. marts 2022</v>
      </c>
    </row>
    <row r="42" spans="1:9" ht="15" customHeight="1" x14ac:dyDescent="0.25">
      <c r="A42" s="412" t="str">
        <f>Resultat!A31</f>
        <v>Kl. 19.00 til kl. 22.00</v>
      </c>
      <c r="B42" s="175">
        <f>Resultat!C31</f>
        <v>25.479999999999997</v>
      </c>
      <c r="C42" s="175"/>
      <c r="D42" s="175">
        <f>Resultat!D31</f>
        <v>25.889999999999997</v>
      </c>
      <c r="E42" s="175"/>
      <c r="F42" s="175">
        <f>Resultat!E31</f>
        <v>26.31</v>
      </c>
    </row>
    <row r="43" spans="1:9" ht="15" customHeight="1" x14ac:dyDescent="0.25">
      <c r="A43" s="412" t="str">
        <f>Resultat!A32</f>
        <v>Kl. 22.00 til kl. 06.00</v>
      </c>
      <c r="B43" s="175">
        <f>Resultat!C32</f>
        <v>41.3</v>
      </c>
      <c r="C43" s="175"/>
      <c r="D43" s="175">
        <f>Resultat!D32</f>
        <v>41.959999999999994</v>
      </c>
      <c r="E43" s="175"/>
      <c r="F43" s="175">
        <f>Resultat!E32</f>
        <v>42.629999999999995</v>
      </c>
    </row>
    <row r="44" spans="1:9" ht="12" customHeight="1" x14ac:dyDescent="0.25">
      <c r="A44" s="511" t="str">
        <f>Resultat!A33</f>
        <v>(påbegyndt inden kl. 24.00)</v>
      </c>
      <c r="B44" s="175"/>
      <c r="C44" s="175"/>
      <c r="D44" s="175"/>
      <c r="E44" s="175"/>
      <c r="F44" s="175"/>
    </row>
    <row r="45" spans="1:9" ht="15" customHeight="1" x14ac:dyDescent="0.25">
      <c r="A45" s="412" t="str">
        <f>Resultat!A34</f>
        <v>Kl. 24.00 til kl. 06.00</v>
      </c>
      <c r="B45" s="175">
        <f>Resultat!C34</f>
        <v>50.22</v>
      </c>
      <c r="C45" s="175"/>
      <c r="D45" s="175">
        <f>Resultat!D34</f>
        <v>51.019999999999996</v>
      </c>
      <c r="E45" s="175"/>
      <c r="F45" s="175">
        <f>Resultat!E34</f>
        <v>51.839999999999996</v>
      </c>
    </row>
    <row r="46" spans="1:9" ht="12" customHeight="1" x14ac:dyDescent="0.25">
      <c r="A46" s="511" t="str">
        <f>Resultat!A35</f>
        <v>(påbegyndt efter kl. 24.00)</v>
      </c>
      <c r="B46" s="175"/>
      <c r="C46" s="175"/>
      <c r="D46" s="175"/>
      <c r="E46" s="175"/>
      <c r="F46" s="175"/>
    </row>
    <row r="47" spans="1:9" ht="15" customHeight="1" x14ac:dyDescent="0.25">
      <c r="A47" s="170"/>
      <c r="B47" s="175"/>
      <c r="C47" s="175"/>
      <c r="D47" s="175"/>
      <c r="E47" s="175"/>
      <c r="F47" s="175"/>
    </row>
    <row r="48" spans="1:9" ht="15" customHeight="1" x14ac:dyDescent="0.25">
      <c r="A48" s="168" t="str">
        <f>Resultat!A37</f>
        <v>Varslingstilllæg</v>
      </c>
      <c r="B48" s="175">
        <f>Resultat!C37</f>
        <v>71.040000000000006</v>
      </c>
      <c r="C48" s="175"/>
      <c r="D48" s="175">
        <f>Resultat!D37</f>
        <v>71.040000000000006</v>
      </c>
      <c r="E48" s="175"/>
      <c r="F48" s="175">
        <f>Resultat!E37</f>
        <v>71.040000000000006</v>
      </c>
    </row>
    <row r="49" spans="1:6" ht="15" customHeight="1" x14ac:dyDescent="0.25">
      <c r="A49" s="168" t="str">
        <f>Resultat!A38</f>
        <v>Smudstillæg</v>
      </c>
      <c r="B49" s="175">
        <f>Resultat!C38</f>
        <v>5.56</v>
      </c>
      <c r="C49" s="175"/>
      <c r="D49" s="175">
        <f>Resultat!D38</f>
        <v>5.6599999999999993</v>
      </c>
      <c r="E49" s="175"/>
      <c r="F49" s="175">
        <f>Resultat!E38</f>
        <v>5.7399999999999993</v>
      </c>
    </row>
    <row r="50" spans="1:6" ht="15" customHeight="1" x14ac:dyDescent="0.25">
      <c r="A50" s="168"/>
      <c r="B50" s="175"/>
      <c r="C50" s="175"/>
      <c r="D50" s="175"/>
      <c r="E50" s="175"/>
      <c r="F50" s="175"/>
    </row>
    <row r="51" spans="1:6" ht="15" customHeight="1" x14ac:dyDescent="0.25">
      <c r="A51" s="168" t="str">
        <f>Resultat!A39</f>
        <v>Fratrædelsesgodtgørelse</v>
      </c>
      <c r="B51" s="366"/>
      <c r="C51" s="175"/>
      <c r="D51" s="175"/>
      <c r="E51" s="175"/>
      <c r="F51" s="175"/>
    </row>
    <row r="52" spans="1:6" ht="15" customHeight="1" x14ac:dyDescent="0.25">
      <c r="A52" s="170" t="str">
        <f>Resultat!A41</f>
        <v>Efter 3 års ansættelse</v>
      </c>
      <c r="B52" s="175">
        <f>Resultat!C41</f>
        <v>5000</v>
      </c>
      <c r="C52" s="175"/>
      <c r="D52" s="175">
        <f>Resultat!D41</f>
        <v>5000</v>
      </c>
      <c r="E52" s="175"/>
      <c r="F52" s="175">
        <f>Resultat!E41</f>
        <v>5000</v>
      </c>
    </row>
    <row r="53" spans="1:6" ht="15" customHeight="1" x14ac:dyDescent="0.25">
      <c r="A53" s="170" t="str">
        <f>Resultat!A42</f>
        <v>Efter 6 års ansættelse</v>
      </c>
      <c r="B53" s="175">
        <f>Resultat!C42</f>
        <v>10000</v>
      </c>
      <c r="C53" s="175"/>
      <c r="D53" s="175">
        <f>Resultat!D42</f>
        <v>10000</v>
      </c>
      <c r="E53" s="175"/>
      <c r="F53" s="175">
        <f>Resultat!E42</f>
        <v>10000</v>
      </c>
    </row>
    <row r="54" spans="1:6" ht="15" customHeight="1" x14ac:dyDescent="0.25">
      <c r="A54" s="170" t="str">
        <f>Resultat!A43</f>
        <v>Efter 8 års ansættelse</v>
      </c>
      <c r="B54" s="175">
        <f>Resultat!C43</f>
        <v>15000</v>
      </c>
      <c r="C54" s="175"/>
      <c r="D54" s="175">
        <f>Resultat!D43</f>
        <v>15000</v>
      </c>
      <c r="E54" s="175"/>
      <c r="F54" s="175">
        <f>Resultat!E43</f>
        <v>15000</v>
      </c>
    </row>
    <row r="55" spans="1:6" ht="15" customHeight="1" x14ac:dyDescent="0.25">
      <c r="A55" s="168"/>
      <c r="B55" s="175"/>
      <c r="C55" s="175"/>
      <c r="D55" s="175"/>
      <c r="E55" s="175"/>
      <c r="F55" s="175"/>
    </row>
    <row r="56" spans="1:6" ht="15" customHeight="1" x14ac:dyDescent="0.25">
      <c r="A56" s="168" t="str">
        <f>Resultat!A45</f>
        <v>Frihedskonto</v>
      </c>
      <c r="B56" s="172">
        <f>Resultat!C45</f>
        <v>6.7500000000000004E-2</v>
      </c>
      <c r="C56" s="172"/>
      <c r="D56" s="172">
        <f>Resultat!D45</f>
        <v>6.7500000000000004E-2</v>
      </c>
      <c r="E56" s="172"/>
      <c r="F56" s="172">
        <f>Resultat!E45</f>
        <v>6.7500000000000004E-2</v>
      </c>
    </row>
    <row r="57" spans="1:6" ht="12" customHeight="1" x14ac:dyDescent="0.25">
      <c r="A57" s="510" t="s">
        <v>84</v>
      </c>
      <c r="B57" s="172"/>
      <c r="C57" s="172"/>
      <c r="D57" s="172"/>
      <c r="E57" s="172"/>
      <c r="F57" s="172"/>
    </row>
    <row r="58" spans="1:6" ht="15" customHeight="1" x14ac:dyDescent="0.25">
      <c r="A58" s="447"/>
      <c r="B58" s="172"/>
      <c r="C58" s="172"/>
      <c r="D58" s="172"/>
      <c r="E58" s="172"/>
      <c r="F58" s="172"/>
    </row>
    <row r="59" spans="1:6" ht="15" customHeight="1" x14ac:dyDescent="0.25">
      <c r="A59" s="168" t="str">
        <f>Resultat!A46</f>
        <v>Særlig opsparing</v>
      </c>
      <c r="B59" s="172">
        <f>Resultat!C46</f>
        <v>0.04</v>
      </c>
      <c r="C59" s="172"/>
      <c r="D59" s="172">
        <f>Resultat!D46</f>
        <v>0.05</v>
      </c>
      <c r="E59" s="172"/>
      <c r="F59" s="172">
        <f>Resultat!E46</f>
        <v>6.0000000000000005E-2</v>
      </c>
    </row>
    <row r="60" spans="1:6" ht="12" customHeight="1" x14ac:dyDescent="0.25">
      <c r="A60" s="510" t="str">
        <f>A57</f>
        <v>Beregnes af ferieberettiget løn</v>
      </c>
      <c r="B60" s="172"/>
      <c r="C60" s="172"/>
      <c r="D60" s="172"/>
      <c r="E60" s="172"/>
      <c r="F60" s="172"/>
    </row>
    <row r="61" spans="1:6" ht="15" customHeight="1" x14ac:dyDescent="0.25">
      <c r="A61" s="168"/>
      <c r="B61" s="172"/>
      <c r="C61" s="172"/>
      <c r="D61" s="172"/>
      <c r="E61" s="172"/>
      <c r="F61" s="172"/>
    </row>
    <row r="62" spans="1:6" ht="15" customHeight="1" x14ac:dyDescent="0.25">
      <c r="A62" s="169" t="str">
        <f>Resultat!A47</f>
        <v>Pension</v>
      </c>
      <c r="B62" s="167"/>
      <c r="C62" s="177"/>
      <c r="D62" s="167"/>
      <c r="E62" s="167"/>
      <c r="F62" s="167"/>
    </row>
    <row r="63" spans="1:6" ht="15" customHeight="1" x14ac:dyDescent="0.25">
      <c r="A63" s="171" t="str">
        <f>Resultat!A49</f>
        <v>Arbejdsgivers pensionsbidrag</v>
      </c>
      <c r="B63" s="172">
        <f>Resultat!C49</f>
        <v>0.08</v>
      </c>
      <c r="C63" s="172"/>
      <c r="D63" s="172">
        <f>Resultat!D49</f>
        <v>0.08</v>
      </c>
      <c r="E63" s="172"/>
      <c r="F63" s="172">
        <f>Resultat!E49</f>
        <v>0.08</v>
      </c>
    </row>
    <row r="64" spans="1:6" ht="15" customHeight="1" x14ac:dyDescent="0.25">
      <c r="A64" s="171" t="str">
        <f>Resultat!A50</f>
        <v>Lønmodtagers pensionsbidrag</v>
      </c>
      <c r="B64" s="172">
        <f>B63/2</f>
        <v>0.04</v>
      </c>
      <c r="C64" s="172"/>
      <c r="D64" s="172">
        <f>D63/2</f>
        <v>0.04</v>
      </c>
      <c r="E64" s="172"/>
      <c r="F64" s="172">
        <f>F63/2</f>
        <v>0.04</v>
      </c>
    </row>
    <row r="65" spans="1:6" ht="16.5" customHeight="1" thickBot="1" x14ac:dyDescent="0.3">
      <c r="A65" s="169" t="str">
        <f>Resultat!A51</f>
        <v>Pensionsbidrag i alt</v>
      </c>
      <c r="B65" s="176">
        <f>SUM(B63:B64)</f>
        <v>0.12</v>
      </c>
      <c r="C65" s="173"/>
      <c r="D65" s="176">
        <f>SUM(D63:D64)</f>
        <v>0.12</v>
      </c>
      <c r="E65" s="173"/>
      <c r="F65" s="176">
        <f>SUM(F63:F64)</f>
        <v>0.12</v>
      </c>
    </row>
    <row r="66" spans="1:6" ht="16.5" thickTop="1" x14ac:dyDescent="0.25">
      <c r="A66" s="165"/>
      <c r="B66" s="165"/>
      <c r="C66" s="165"/>
      <c r="D66" s="165"/>
      <c r="E66" s="165"/>
      <c r="F66" s="165"/>
    </row>
    <row r="67" spans="1:6" x14ac:dyDescent="0.25">
      <c r="A67" s="165"/>
    </row>
  </sheetData>
  <sheetProtection algorithmName="SHA-512" hashValue="SYVYwMSafU46wwWd5n+iY+ZHMuS0mbVKH2QEk5Aonrrh9/CdUkmdbV8v0BbFtGizuLuyAx7UFPWtcpNsFRdpDA==" saltValue="IbPmB70SmYkIy8tb9b4Ezw==" spinCount="100000" sheet="1" objects="1" scenarios="1"/>
  <mergeCells count="5">
    <mergeCell ref="A5:F5"/>
    <mergeCell ref="A1:F1"/>
    <mergeCell ref="A3:F3"/>
    <mergeCell ref="A4:F4"/>
    <mergeCell ref="A2:F2"/>
  </mergeCells>
  <phoneticPr fontId="0" type="noConversion"/>
  <printOptions horizontalCentered="1"/>
  <pageMargins left="0.59055118110236227" right="0.39370078740157483" top="0.98425196850393704" bottom="0.39370078740157483" header="0.98425196850393704" footer="0.39370078740157483"/>
  <pageSetup paperSize="9" orientation="portrait" r:id="rId1"/>
  <headerFooter alignWithMargins="0">
    <oddHeader xml:space="preserve">&amp;R&amp;"Arial,Fed"&amp;16
</oddHeader>
  </headerFooter>
  <rowBreaks count="1" manualBreakCount="1">
    <brk id="38" max="16383" man="1"/>
  </rowBreaks>
  <ignoredErrors>
    <ignoredError sqref="B16:F16 H16 H10:H13 B10:F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2"/>
  <sheetViews>
    <sheetView showGridLines="0" showRowColHeaders="0" zoomScale="216" zoomScaleNormal="216" workbookViewId="0">
      <selection activeCell="A2" sqref="A2:H2"/>
    </sheetView>
  </sheetViews>
  <sheetFormatPr defaultRowHeight="15.75" x14ac:dyDescent="0.25"/>
  <cols>
    <col min="1" max="1" width="2.7109375" style="97" customWidth="1"/>
    <col min="2" max="2" width="42.140625" style="97" customWidth="1"/>
    <col min="3" max="3" width="11.42578125" style="97" customWidth="1"/>
    <col min="4" max="4" width="2.7109375" style="97" customWidth="1"/>
    <col min="5" max="5" width="11.42578125" style="97" customWidth="1"/>
    <col min="6" max="6" width="2.7109375" style="97" customWidth="1"/>
    <col min="7" max="7" width="11.42578125" style="97" customWidth="1"/>
    <col min="8" max="8" width="2.42578125" style="97" customWidth="1"/>
    <col min="9" max="9" width="2.7109375" style="97" customWidth="1"/>
    <col min="10" max="10" width="9.140625" style="97" hidden="1" customWidth="1"/>
    <col min="11" max="16384" width="9.140625" style="97"/>
  </cols>
  <sheetData>
    <row r="1" spans="1:11" ht="20.25" customHeight="1" x14ac:dyDescent="0.3">
      <c r="A1" s="554" t="str">
        <f>'Lønoversigt til hjemmesiden'!A1:F1</f>
        <v>Vaskerioverenskomst mellem DIO II (ADV) og 3F</v>
      </c>
      <c r="B1" s="555"/>
      <c r="C1" s="555"/>
      <c r="D1" s="555"/>
      <c r="E1" s="555"/>
      <c r="F1" s="555"/>
      <c r="G1" s="550"/>
      <c r="H1" s="550"/>
    </row>
    <row r="2" spans="1:11" ht="20.25" customHeight="1" x14ac:dyDescent="0.3">
      <c r="A2" s="554" t="s">
        <v>50</v>
      </c>
      <c r="B2" s="555"/>
      <c r="C2" s="555"/>
      <c r="D2" s="555"/>
      <c r="E2" s="555"/>
      <c r="F2" s="555"/>
      <c r="G2" s="550"/>
      <c r="H2" s="550"/>
    </row>
    <row r="3" spans="1:11" ht="20.25" customHeight="1" x14ac:dyDescent="0.3">
      <c r="A3" s="554" t="str">
        <f>'Lønoversigt til hjemmesiden'!A3:E3</f>
        <v>1. marts 2020 til 28. februar 2023</v>
      </c>
      <c r="B3" s="555"/>
      <c r="C3" s="555"/>
      <c r="D3" s="555"/>
      <c r="E3" s="555"/>
      <c r="F3" s="555"/>
      <c r="G3" s="550"/>
      <c r="H3" s="550"/>
    </row>
    <row r="4" spans="1:11" ht="15" customHeight="1" x14ac:dyDescent="0.25">
      <c r="A4" s="552" t="str">
        <f>'Lønoversigt til hjemmesiden'!A4:F4</f>
        <v>Gældende fra begyndelsen af den lønningsuge hvori 1. marts indgår.</v>
      </c>
      <c r="B4" s="555"/>
      <c r="C4" s="555"/>
      <c r="D4" s="555"/>
      <c r="E4" s="555"/>
      <c r="F4" s="555"/>
      <c r="G4" s="550"/>
      <c r="H4" s="550"/>
    </row>
    <row r="5" spans="1:11" ht="14.1" customHeight="1" x14ac:dyDescent="0.25">
      <c r="A5" s="552"/>
      <c r="B5" s="553"/>
      <c r="C5" s="553"/>
      <c r="D5" s="553"/>
      <c r="E5" s="553"/>
      <c r="F5" s="553"/>
      <c r="G5" s="553"/>
      <c r="H5" s="553"/>
    </row>
    <row r="6" spans="1:11" ht="14.1" customHeight="1" x14ac:dyDescent="0.25">
      <c r="A6" s="151"/>
      <c r="B6" s="151"/>
      <c r="C6" s="422" t="s">
        <v>105</v>
      </c>
      <c r="D6" s="423"/>
      <c r="E6" s="422" t="s">
        <v>106</v>
      </c>
      <c r="F6" s="423"/>
      <c r="G6" s="422" t="s">
        <v>107</v>
      </c>
      <c r="H6" s="151"/>
      <c r="J6" s="490" t="s">
        <v>99</v>
      </c>
    </row>
    <row r="7" spans="1:11" ht="14.1" customHeight="1" x14ac:dyDescent="0.25">
      <c r="A7" s="151"/>
      <c r="B7" s="430" t="str">
        <f>'Lønoversigt til hjemmesiden'!A7</f>
        <v>Timeløn for voksne</v>
      </c>
      <c r="C7" s="424">
        <f>Resultat!C3</f>
        <v>130.94999999999999</v>
      </c>
      <c r="D7" s="425"/>
      <c r="E7" s="424">
        <f>Resultat!D3</f>
        <v>134.14999999999998</v>
      </c>
      <c r="F7" s="425"/>
      <c r="G7" s="424">
        <f>Resultat!E3</f>
        <v>137.29999999999998</v>
      </c>
      <c r="H7" s="151"/>
      <c r="I7" s="49"/>
      <c r="J7" s="518">
        <f>Resultat!B3</f>
        <v>127.74999999999999</v>
      </c>
      <c r="K7" s="49"/>
    </row>
    <row r="8" spans="1:11" ht="14.1" customHeight="1" x14ac:dyDescent="0.25">
      <c r="A8" s="151"/>
      <c r="B8" s="430" t="str">
        <f>'Lønoversigt til hjemmesiden'!A8</f>
        <v>Vaskeritillæg</v>
      </c>
      <c r="C8" s="424">
        <f>Resultat!C4</f>
        <v>4.9499999999999993</v>
      </c>
      <c r="D8" s="425"/>
      <c r="E8" s="424">
        <f>Resultat!D4</f>
        <v>4.9499999999999993</v>
      </c>
      <c r="F8" s="425"/>
      <c r="G8" s="424">
        <f>Resultat!E4</f>
        <v>4.9499999999999993</v>
      </c>
      <c r="H8" s="151"/>
      <c r="I8" s="49"/>
      <c r="J8" s="491">
        <f>Resultat!B4</f>
        <v>4.9499999999999993</v>
      </c>
      <c r="K8" s="49"/>
    </row>
    <row r="9" spans="1:11" ht="14.1" customHeight="1" x14ac:dyDescent="0.25">
      <c r="A9" s="151"/>
      <c r="B9" s="361" t="str">
        <f>'Lønoversigt til hjemmesiden'!A9</f>
        <v>Timeløn i alt</v>
      </c>
      <c r="C9" s="432">
        <f>SUM(C7:C8)</f>
        <v>135.89999999999998</v>
      </c>
      <c r="D9" s="423"/>
      <c r="E9" s="432">
        <f>SUM(E7:E8)</f>
        <v>139.09999999999997</v>
      </c>
      <c r="F9" s="423"/>
      <c r="G9" s="432">
        <f>SUM(G7:G8)</f>
        <v>142.24999999999997</v>
      </c>
      <c r="H9" s="151"/>
      <c r="I9" s="49"/>
      <c r="J9" s="492">
        <f>SUM(J7:J8)</f>
        <v>132.69999999999999</v>
      </c>
      <c r="K9" s="49"/>
    </row>
    <row r="10" spans="1:11" ht="14.1" customHeight="1" x14ac:dyDescent="0.25">
      <c r="A10" s="151"/>
      <c r="B10" s="430" t="str">
        <f>'Lønoversigt til hjemmesiden'!A10</f>
        <v>Anciennitetstillæg efter 12 måneder</v>
      </c>
      <c r="C10" s="424">
        <f>Resultat!C6</f>
        <v>9.1999999999999993</v>
      </c>
      <c r="D10" s="425"/>
      <c r="E10" s="424">
        <f>Resultat!D6</f>
        <v>9.1999999999999993</v>
      </c>
      <c r="F10" s="425"/>
      <c r="G10" s="424">
        <f>Resultat!E6</f>
        <v>9.1999999999999993</v>
      </c>
      <c r="H10" s="151"/>
      <c r="I10" s="49"/>
      <c r="J10" s="519">
        <f>Resultat!B6</f>
        <v>9.1999999999999993</v>
      </c>
      <c r="K10" s="49"/>
    </row>
    <row r="11" spans="1:11" ht="14.1" customHeight="1" x14ac:dyDescent="0.25">
      <c r="A11" s="151"/>
      <c r="B11" s="361" t="str">
        <f>'Lønoversigt til hjemmesiden'!A11</f>
        <v>Timeløn i alt efter 12 måneder</v>
      </c>
      <c r="C11" s="432">
        <f>SUM(C9:C10)</f>
        <v>145.09999999999997</v>
      </c>
      <c r="D11" s="423"/>
      <c r="E11" s="432">
        <f>SUM(E9:E10)</f>
        <v>148.29999999999995</v>
      </c>
      <c r="F11" s="423"/>
      <c r="G11" s="432">
        <f>SUM(G9:G10)</f>
        <v>151.44999999999996</v>
      </c>
      <c r="H11" s="151"/>
      <c r="I11" s="49"/>
      <c r="J11" s="518">
        <f>SUM(J9:J10)</f>
        <v>141.89999999999998</v>
      </c>
      <c r="K11" s="49"/>
    </row>
    <row r="12" spans="1:11" ht="14.1" customHeight="1" x14ac:dyDescent="0.25">
      <c r="A12" s="478"/>
      <c r="B12" s="479" t="str">
        <f>'Lønoversigt til hjemmesiden'!A12</f>
        <v>Særlig opsparing i beløb</v>
      </c>
      <c r="C12" s="480">
        <f>C11*C60</f>
        <v>5.8039999999999985</v>
      </c>
      <c r="D12" s="481"/>
      <c r="E12" s="480">
        <f>E11*E60</f>
        <v>7.4149999999999983</v>
      </c>
      <c r="F12" s="481"/>
      <c r="G12" s="480">
        <f>G11*G60</f>
        <v>9.086999999999998</v>
      </c>
      <c r="H12" s="478"/>
      <c r="I12" s="49"/>
      <c r="J12" s="519">
        <f>J11*Resultat!B46</f>
        <v>4.2569999999999988</v>
      </c>
      <c r="K12" s="49"/>
    </row>
    <row r="13" spans="1:11" ht="15" customHeight="1" thickBot="1" x14ac:dyDescent="0.3">
      <c r="A13" s="478"/>
      <c r="B13" s="482" t="str">
        <f>'Lønoversigt til hjemmesiden'!A13</f>
        <v>I alt inkl. særlig opsparing</v>
      </c>
      <c r="C13" s="522">
        <f>SUM(C11:C12)</f>
        <v>150.90399999999997</v>
      </c>
      <c r="D13" s="484"/>
      <c r="E13" s="522">
        <f>SUM(E11:E12)</f>
        <v>155.71499999999995</v>
      </c>
      <c r="F13" s="484"/>
      <c r="G13" s="483">
        <f>SUM(G11:G12)</f>
        <v>160.53699999999995</v>
      </c>
      <c r="H13" s="478"/>
      <c r="I13" s="49"/>
      <c r="J13" s="518">
        <f>SUM(J11:J12)</f>
        <v>146.15699999999998</v>
      </c>
      <c r="K13" s="49"/>
    </row>
    <row r="14" spans="1:11" ht="15" customHeight="1" thickTop="1" thickBot="1" x14ac:dyDescent="0.3">
      <c r="A14" s="478"/>
      <c r="B14" s="482" t="str">
        <f>'Lønoversigt til hjemmesiden'!A14</f>
        <v>Samlet stigning pr. time 2020-2023</v>
      </c>
      <c r="C14" s="482"/>
      <c r="D14" s="482"/>
      <c r="E14" s="482"/>
      <c r="F14" s="484"/>
      <c r="G14" s="517">
        <f>G13-J13</f>
        <v>14.379999999999967</v>
      </c>
      <c r="H14" s="478"/>
      <c r="I14" s="1"/>
      <c r="J14" s="516"/>
      <c r="K14" s="1"/>
    </row>
    <row r="15" spans="1:11" ht="14.1" customHeight="1" thickTop="1" x14ac:dyDescent="0.25">
      <c r="A15" s="478"/>
      <c r="B15" s="482"/>
      <c r="C15" s="482"/>
      <c r="D15" s="482"/>
      <c r="E15" s="482"/>
      <c r="F15" s="482"/>
      <c r="G15" s="482"/>
      <c r="H15" s="478"/>
      <c r="I15" s="1"/>
      <c r="J15" s="516"/>
      <c r="K15" s="1"/>
    </row>
    <row r="16" spans="1:11" ht="14.1" customHeight="1" x14ac:dyDescent="0.25">
      <c r="A16" s="485"/>
      <c r="B16" s="479" t="str">
        <f>'Lønoversigt til hjemmesiden'!A16</f>
        <v>Arbejdsgivers pensionsbidrag</v>
      </c>
      <c r="C16" s="486">
        <f>C13*$C$64</f>
        <v>12.072319999999998</v>
      </c>
      <c r="D16" s="479"/>
      <c r="E16" s="486">
        <f>E13*$E$64</f>
        <v>12.457199999999997</v>
      </c>
      <c r="F16" s="479"/>
      <c r="G16" s="486">
        <f>G13*$G$64</f>
        <v>12.842959999999996</v>
      </c>
      <c r="H16" s="485"/>
      <c r="I16" s="49"/>
      <c r="J16" s="519">
        <f>J13*Resultat!B49</f>
        <v>11.692559999999999</v>
      </c>
      <c r="K16" s="49"/>
    </row>
    <row r="17" spans="1:16" ht="14.1" customHeight="1" thickBot="1" x14ac:dyDescent="0.3">
      <c r="A17" s="485"/>
      <c r="B17" s="482" t="str">
        <f>'Lønoversigt til hjemmesiden'!A17</f>
        <v>I alt inkl. særlig opsparing og pension</v>
      </c>
      <c r="C17" s="487">
        <f>SUM(C13:C16)</f>
        <v>162.97631999999996</v>
      </c>
      <c r="D17" s="479"/>
      <c r="E17" s="487">
        <f>SUM(E13:E16)</f>
        <v>168.17219999999995</v>
      </c>
      <c r="F17" s="484"/>
      <c r="G17" s="487">
        <f>SUM(G13:G16)-G14</f>
        <v>173.37995999999995</v>
      </c>
      <c r="H17" s="485"/>
      <c r="I17" s="49"/>
      <c r="J17" s="493">
        <f>SUM(J13:J16)</f>
        <v>157.84955999999997</v>
      </c>
      <c r="K17" s="49"/>
    </row>
    <row r="18" spans="1:16" ht="14.1" customHeight="1" thickTop="1" thickBot="1" x14ac:dyDescent="0.3">
      <c r="A18" s="485"/>
      <c r="B18" s="482" t="str">
        <f>'Lønoversigt til hjemmesiden'!A18</f>
        <v>Samlet stigning pr. time 2020-2023</v>
      </c>
      <c r="C18" s="488"/>
      <c r="D18" s="479"/>
      <c r="E18" s="488"/>
      <c r="F18" s="484"/>
      <c r="G18" s="489">
        <f>G17-J17</f>
        <v>15.530399999999986</v>
      </c>
      <c r="H18" s="485"/>
      <c r="I18" s="49"/>
      <c r="J18" s="49"/>
      <c r="K18" s="49"/>
    </row>
    <row r="19" spans="1:16" ht="14.1" customHeight="1" thickTop="1" x14ac:dyDescent="0.25">
      <c r="A19" s="151"/>
      <c r="B19" s="361"/>
      <c r="C19" s="361"/>
      <c r="D19" s="361"/>
      <c r="E19" s="361"/>
      <c r="F19" s="361"/>
      <c r="G19" s="361"/>
      <c r="H19" s="151"/>
      <c r="I19" s="49"/>
      <c r="J19" s="49"/>
      <c r="K19" s="49"/>
    </row>
    <row r="20" spans="1:16" ht="14.1" customHeight="1" x14ac:dyDescent="0.25">
      <c r="A20" s="151"/>
      <c r="B20" s="151" t="str">
        <f>'Lønoversigt til hjemmesiden'!A20</f>
        <v>Garantibetaling for voksne</v>
      </c>
      <c r="C20" s="424">
        <f>'Lønoversigt til hjemmesiden'!B20</f>
        <v>135.89999999999998</v>
      </c>
      <c r="D20" s="425"/>
      <c r="E20" s="424">
        <f>'Lønoversigt til hjemmesiden'!D20</f>
        <v>139.09999999999997</v>
      </c>
      <c r="F20" s="425"/>
      <c r="G20" s="424">
        <f>'Lønoversigt til hjemmesiden'!F20</f>
        <v>142.24999999999997</v>
      </c>
      <c r="H20" s="151"/>
      <c r="I20" s="147"/>
      <c r="J20" s="147"/>
      <c r="K20" s="147"/>
    </row>
    <row r="21" spans="1:16" ht="14.1" customHeight="1" x14ac:dyDescent="0.25">
      <c r="A21" s="151"/>
      <c r="B21" s="151"/>
      <c r="C21" s="426"/>
      <c r="D21" s="425"/>
      <c r="E21" s="426"/>
      <c r="F21" s="425"/>
      <c r="G21" s="427"/>
      <c r="H21" s="151"/>
      <c r="I21" s="147"/>
      <c r="J21" s="147"/>
      <c r="K21" s="147"/>
      <c r="M21" s="147"/>
      <c r="N21" s="147"/>
      <c r="O21" s="147"/>
      <c r="P21" s="147"/>
    </row>
    <row r="22" spans="1:16" ht="14.1" customHeight="1" x14ac:dyDescent="0.25">
      <c r="A22" s="151"/>
      <c r="B22" s="151" t="str">
        <f>'Lønoversigt til hjemmesiden'!A22</f>
        <v>Timeløn for unge under 18 år</v>
      </c>
      <c r="C22" s="424">
        <f>'Lønoversigt til hjemmesiden'!B22</f>
        <v>104.63999999999999</v>
      </c>
      <c r="D22" s="425"/>
      <c r="E22" s="424">
        <f>'Lønoversigt til hjemmesiden'!D22</f>
        <v>107.83999999999999</v>
      </c>
      <c r="F22" s="425"/>
      <c r="G22" s="424">
        <f>'Lønoversigt til hjemmesiden'!F22</f>
        <v>110.99</v>
      </c>
      <c r="H22" s="151"/>
      <c r="I22" s="147"/>
      <c r="J22" s="147"/>
      <c r="K22" s="147"/>
      <c r="M22" s="147"/>
      <c r="N22" s="147"/>
      <c r="O22" s="147"/>
      <c r="P22" s="147"/>
    </row>
    <row r="23" spans="1:16" ht="14.1" customHeight="1" x14ac:dyDescent="0.25">
      <c r="A23" s="151"/>
      <c r="B23" s="151"/>
      <c r="C23" s="427"/>
      <c r="D23" s="425"/>
      <c r="E23" s="427"/>
      <c r="F23" s="425"/>
      <c r="G23" s="428"/>
      <c r="H23" s="151"/>
      <c r="I23" s="148"/>
      <c r="J23" s="148"/>
      <c r="K23" s="148"/>
      <c r="M23" s="147"/>
      <c r="N23" s="147"/>
      <c r="O23" s="147"/>
      <c r="P23" s="147"/>
    </row>
    <row r="24" spans="1:16" ht="14.1" customHeight="1" x14ac:dyDescent="0.25">
      <c r="A24" s="151"/>
      <c r="B24" s="151" t="str">
        <f>'Lønoversigt til hjemmesiden'!A24</f>
        <v>Kursustillæg</v>
      </c>
      <c r="C24" s="424">
        <f>'Lønoversigt til hjemmesiden'!B24</f>
        <v>1</v>
      </c>
      <c r="D24" s="425"/>
      <c r="E24" s="424">
        <f>'Lønoversigt til hjemmesiden'!D24</f>
        <v>1</v>
      </c>
      <c r="F24" s="425"/>
      <c r="G24" s="424">
        <f>'Lønoversigt til hjemmesiden'!F24</f>
        <v>1</v>
      </c>
      <c r="H24" s="151"/>
      <c r="I24" s="148"/>
      <c r="J24" s="148"/>
      <c r="K24" s="148"/>
      <c r="M24" s="147"/>
      <c r="N24" s="147"/>
      <c r="O24" s="147"/>
      <c r="P24" s="147"/>
    </row>
    <row r="25" spans="1:16" ht="14.1" customHeight="1" x14ac:dyDescent="0.25">
      <c r="A25" s="151"/>
      <c r="B25" s="151" t="str">
        <f>'Lønoversigt til hjemmesiden'!A25</f>
        <v>Mentortillæg</v>
      </c>
      <c r="C25" s="424">
        <f>'Lønoversigt til hjemmesiden'!B25</f>
        <v>2</v>
      </c>
      <c r="D25" s="425"/>
      <c r="E25" s="424">
        <f>'Lønoversigt til hjemmesiden'!D25</f>
        <v>2</v>
      </c>
      <c r="F25" s="425"/>
      <c r="G25" s="424">
        <f>'Lønoversigt til hjemmesiden'!F25</f>
        <v>2</v>
      </c>
      <c r="H25" s="151"/>
      <c r="I25" s="148"/>
      <c r="J25" s="148"/>
      <c r="M25" s="147"/>
      <c r="N25" s="147"/>
      <c r="O25" s="147"/>
      <c r="P25" s="147"/>
    </row>
    <row r="26" spans="1:16" ht="14.1" customHeight="1" x14ac:dyDescent="0.25">
      <c r="A26" s="151"/>
      <c r="B26" s="151"/>
      <c r="C26" s="429"/>
      <c r="D26" s="425"/>
      <c r="E26" s="429"/>
      <c r="F26" s="425"/>
      <c r="G26" s="429"/>
      <c r="H26" s="151"/>
      <c r="I26" s="148"/>
      <c r="J26" s="148"/>
      <c r="M26" s="147"/>
      <c r="N26" s="147"/>
      <c r="O26" s="147"/>
      <c r="P26" s="147"/>
    </row>
    <row r="27" spans="1:16" ht="14.1" customHeight="1" x14ac:dyDescent="0.25">
      <c r="A27" s="151"/>
      <c r="B27" s="151" t="str">
        <f>'Lønoversigt til hjemmesiden'!A27</f>
        <v>Overarbejdstillæg</v>
      </c>
      <c r="C27" s="430"/>
      <c r="D27" s="425"/>
      <c r="E27" s="430"/>
      <c r="F27" s="425"/>
      <c r="G27" s="430"/>
      <c r="H27" s="151"/>
      <c r="I27" s="148"/>
      <c r="J27" s="148"/>
      <c r="M27" s="147"/>
      <c r="N27" s="147"/>
      <c r="O27" s="147"/>
      <c r="P27" s="147"/>
    </row>
    <row r="28" spans="1:16" ht="27.95" customHeight="1" x14ac:dyDescent="0.25">
      <c r="A28" s="151"/>
      <c r="B28" s="444" t="str">
        <f>'Lønoversigt til hjemmesiden'!A28</f>
        <v>1. time efter normalarbejdstid og ved arbejde før normal arbejdstid i tidsrummet kl. 06.00-19.00</v>
      </c>
      <c r="C28" s="424">
        <f>'Lønoversigt til hjemmesiden'!B28</f>
        <v>40.199999999999996</v>
      </c>
      <c r="D28" s="425"/>
      <c r="E28" s="424">
        <f>'Lønoversigt til hjemmesiden'!D28</f>
        <v>40.849999999999994</v>
      </c>
      <c r="F28" s="425"/>
      <c r="G28" s="424">
        <f>'Lønoversigt til hjemmesiden'!F28</f>
        <v>41.499999999999993</v>
      </c>
      <c r="H28" s="151"/>
      <c r="I28" s="148"/>
      <c r="J28" s="148"/>
      <c r="M28" s="147"/>
      <c r="N28" s="147"/>
      <c r="O28" s="147"/>
      <c r="P28" s="147"/>
    </row>
    <row r="29" spans="1:16" ht="14.1" customHeight="1" x14ac:dyDescent="0.25">
      <c r="A29" s="151"/>
      <c r="B29" s="445" t="str">
        <f>'Lønoversigt til hjemmesiden'!A29</f>
        <v>2. til 4. time efter normalarbejdstid</v>
      </c>
      <c r="C29" s="424">
        <f>'Lønoversigt til hjemmesiden'!B29</f>
        <v>58.31</v>
      </c>
      <c r="D29" s="425"/>
      <c r="E29" s="424">
        <f>'Lønoversigt til hjemmesiden'!D29</f>
        <v>59.24</v>
      </c>
      <c r="F29" s="425"/>
      <c r="G29" s="424">
        <f>'Lønoversigt til hjemmesiden'!F29</f>
        <v>60.190000000000005</v>
      </c>
      <c r="H29" s="151"/>
      <c r="I29" s="148"/>
      <c r="J29" s="148"/>
      <c r="M29" s="147"/>
      <c r="N29" s="147"/>
      <c r="O29" s="147"/>
      <c r="P29" s="147"/>
    </row>
    <row r="30" spans="1:16" ht="42" customHeight="1" x14ac:dyDescent="0.25">
      <c r="A30" s="151"/>
      <c r="B30" s="444" t="str">
        <f>'Lønoversigt til hjemmesiden'!A30</f>
        <v>5. time efter normalarbejdstid og derefter og søn- og helligdage efter kl. 12.00 og ved arbejde før normal arbejdstid i tidsrummet kl. 06.00-19.00</v>
      </c>
      <c r="C30" s="424">
        <f>'Lønoversigt til hjemmesiden'!B30</f>
        <v>109.13999999999997</v>
      </c>
      <c r="D30" s="425"/>
      <c r="E30" s="424">
        <f>'Lønoversigt til hjemmesiden'!D30</f>
        <v>110.88999999999997</v>
      </c>
      <c r="F30" s="425"/>
      <c r="G30" s="424">
        <f>'Lønoversigt til hjemmesiden'!F30</f>
        <v>112.66999999999997</v>
      </c>
      <c r="H30" s="151"/>
      <c r="I30" s="148"/>
      <c r="J30" s="148"/>
      <c r="M30" s="147"/>
      <c r="N30" s="147"/>
      <c r="O30" s="147"/>
      <c r="P30" s="147"/>
    </row>
    <row r="31" spans="1:16" ht="14.1" customHeight="1" x14ac:dyDescent="0.25">
      <c r="A31" s="151"/>
      <c r="B31" s="157"/>
      <c r="C31" s="431"/>
      <c r="D31" s="425"/>
      <c r="E31" s="431"/>
      <c r="F31" s="425"/>
      <c r="G31" s="431"/>
      <c r="H31" s="151"/>
      <c r="I31" s="148"/>
      <c r="J31" s="148"/>
      <c r="M31" s="147"/>
      <c r="N31" s="147"/>
      <c r="O31" s="147"/>
      <c r="P31" s="147"/>
    </row>
    <row r="32" spans="1:16" ht="14.1" customHeight="1" x14ac:dyDescent="0.25">
      <c r="A32" s="151"/>
      <c r="B32" s="153" t="str">
        <f>'Lønoversigt til hjemmesiden'!A32</f>
        <v>Arbejde på tilsikret hel hverdagsfridag</v>
      </c>
      <c r="C32" s="431"/>
      <c r="D32" s="425"/>
      <c r="E32" s="431"/>
      <c r="F32" s="425"/>
      <c r="G32" s="431"/>
      <c r="H32" s="151"/>
      <c r="I32" s="148"/>
      <c r="J32" s="148"/>
      <c r="M32" s="147"/>
      <c r="N32" s="147"/>
      <c r="O32" s="147"/>
      <c r="P32" s="147"/>
    </row>
    <row r="33" spans="1:16" ht="14.1" customHeight="1" x14ac:dyDescent="0.25">
      <c r="A33" s="151"/>
      <c r="B33" s="445" t="str">
        <f>'Lønoversigt til hjemmesiden'!A33</f>
        <v>Timer mellem kl. 06.00 til kl. 19.00</v>
      </c>
      <c r="C33" s="424">
        <f>'Lønoversigt til hjemmesiden'!B33</f>
        <v>58.31</v>
      </c>
      <c r="D33" s="425"/>
      <c r="E33" s="424">
        <f>'Lønoversigt til hjemmesiden'!D33</f>
        <v>59.24</v>
      </c>
      <c r="F33" s="425"/>
      <c r="G33" s="424">
        <f>'Lønoversigt til hjemmesiden'!F33</f>
        <v>60.190000000000005</v>
      </c>
      <c r="H33" s="151"/>
      <c r="I33" s="148"/>
      <c r="J33" s="148"/>
      <c r="M33" s="147"/>
      <c r="N33" s="147"/>
      <c r="O33" s="147"/>
      <c r="P33" s="147"/>
    </row>
    <row r="34" spans="1:16" ht="14.1" customHeight="1" x14ac:dyDescent="0.25">
      <c r="A34" s="151"/>
      <c r="B34" s="445" t="str">
        <f>'Lønoversigt til hjemmesiden'!A34</f>
        <v>Timer mellem kl. 19.00 til kl. 06.00</v>
      </c>
      <c r="C34" s="424">
        <f>'Lønoversigt til hjemmesiden'!B34</f>
        <v>109.13999999999997</v>
      </c>
      <c r="D34" s="425"/>
      <c r="E34" s="424">
        <f>'Lønoversigt til hjemmesiden'!D34</f>
        <v>110.88999999999997</v>
      </c>
      <c r="F34" s="425"/>
      <c r="G34" s="424">
        <f>'Lønoversigt til hjemmesiden'!F34</f>
        <v>112.66999999999997</v>
      </c>
      <c r="H34" s="151"/>
      <c r="I34" s="148"/>
      <c r="J34" s="148"/>
    </row>
    <row r="35" spans="1:16" ht="14.1" customHeight="1" x14ac:dyDescent="0.25">
      <c r="A35" s="151"/>
      <c r="B35" s="157"/>
      <c r="C35" s="431"/>
      <c r="D35" s="425"/>
      <c r="E35" s="431"/>
      <c r="F35" s="425"/>
      <c r="G35" s="431"/>
      <c r="H35" s="151"/>
      <c r="I35" s="148"/>
      <c r="J35" s="148"/>
    </row>
    <row r="36" spans="1:16" ht="14.1" customHeight="1" x14ac:dyDescent="0.25">
      <c r="A36" s="151"/>
      <c r="B36" s="153" t="str">
        <f>'Lønoversigt til hjemmesiden'!A36</f>
        <v>Arbejde på søn- og helligdage</v>
      </c>
      <c r="C36" s="431"/>
      <c r="D36" s="425"/>
      <c r="E36" s="431"/>
      <c r="F36" s="425"/>
      <c r="G36" s="431"/>
      <c r="H36" s="151"/>
    </row>
    <row r="37" spans="1:16" ht="14.1" customHeight="1" x14ac:dyDescent="0.25">
      <c r="A37" s="151"/>
      <c r="B37" s="444" t="str">
        <f>'Lønoversigt til hjemmesiden'!A37</f>
        <v>Fra daglig normal hverdagsarbejdstid til kl 12.00</v>
      </c>
      <c r="C37" s="424">
        <f>'Lønoversigt til hjemmesiden'!B37</f>
        <v>72.720000000000013</v>
      </c>
      <c r="D37" s="425"/>
      <c r="E37" s="424">
        <f>'Lønoversigt til hjemmesiden'!D37</f>
        <v>73.88000000000001</v>
      </c>
      <c r="F37" s="425"/>
      <c r="G37" s="424">
        <f>'Lønoversigt til hjemmesiden'!F37</f>
        <v>75.060000000000016</v>
      </c>
      <c r="H37" s="151"/>
    </row>
    <row r="38" spans="1:16" ht="27.95" customHeight="1" x14ac:dyDescent="0.25">
      <c r="A38" s="151"/>
      <c r="B38" s="444" t="str">
        <f>'Lønoversigt til hjemmesiden'!A38</f>
        <v>Fra kl. 12.00 til normal hverdagsarbejdstids begyndelse</v>
      </c>
      <c r="C38" s="424">
        <f>'Lønoversigt til hjemmesiden'!B38</f>
        <v>109.13999999999997</v>
      </c>
      <c r="D38" s="425"/>
      <c r="E38" s="424">
        <f>'Lønoversigt til hjemmesiden'!D38</f>
        <v>110.88999999999997</v>
      </c>
      <c r="F38" s="425"/>
      <c r="G38" s="424">
        <f>'Lønoversigt til hjemmesiden'!F38</f>
        <v>112.66999999999997</v>
      </c>
      <c r="H38" s="151"/>
    </row>
    <row r="39" spans="1:16" ht="27.95" customHeight="1" x14ac:dyDescent="0.25">
      <c r="A39" s="151"/>
      <c r="B39" s="444" t="str">
        <f>'Lønoversigt til hjemmesiden'!A39</f>
        <v>Om morgenen forud for normal hverdagsarbejdstids begyndelse</v>
      </c>
      <c r="C39" s="424">
        <f>'Lønoversigt til hjemmesiden'!B39</f>
        <v>109.13999999999997</v>
      </c>
      <c r="D39" s="425"/>
      <c r="E39" s="424">
        <f>'Lønoversigt til hjemmesiden'!D39</f>
        <v>110.88999999999997</v>
      </c>
      <c r="F39" s="425"/>
      <c r="G39" s="424">
        <f>'Lønoversigt til hjemmesiden'!F39</f>
        <v>112.66999999999997</v>
      </c>
      <c r="H39" s="151"/>
    </row>
    <row r="40" spans="1:16" ht="14.1" customHeight="1" x14ac:dyDescent="0.25">
      <c r="A40" s="151"/>
      <c r="B40" s="154"/>
      <c r="C40" s="155"/>
      <c r="D40" s="152"/>
      <c r="E40" s="155"/>
      <c r="F40" s="152"/>
      <c r="G40" s="155"/>
      <c r="H40" s="151"/>
    </row>
    <row r="41" spans="1:16" ht="14.1" customHeight="1" x14ac:dyDescent="0.25">
      <c r="A41" s="151"/>
      <c r="B41" s="154" t="str">
        <f>'Lønoversigt til hjemmesiden'!A41</f>
        <v>Forskudttidstillæg</v>
      </c>
      <c r="C41" s="155"/>
      <c r="D41" s="152"/>
      <c r="E41" s="155"/>
      <c r="F41" s="152"/>
      <c r="G41" s="155"/>
      <c r="H41" s="151"/>
    </row>
    <row r="42" spans="1:16" ht="14.1" customHeight="1" x14ac:dyDescent="0.25">
      <c r="A42" s="151"/>
      <c r="B42" s="445" t="str">
        <f>'Lønoversigt til hjemmesiden'!A42</f>
        <v>Kl. 19.00 til kl. 22.00</v>
      </c>
      <c r="C42" s="424">
        <f>'Lønoversigt til hjemmesiden'!B42</f>
        <v>25.479999999999997</v>
      </c>
      <c r="D42" s="425"/>
      <c r="E42" s="424">
        <f>'Lønoversigt til hjemmesiden'!D42</f>
        <v>25.889999999999997</v>
      </c>
      <c r="F42" s="425"/>
      <c r="G42" s="424">
        <f>'Lønoversigt til hjemmesiden'!F42</f>
        <v>26.31</v>
      </c>
      <c r="H42" s="151"/>
    </row>
    <row r="43" spans="1:16" ht="14.1" customHeight="1" x14ac:dyDescent="0.25">
      <c r="A43" s="151"/>
      <c r="B43" s="446" t="str">
        <f>'Lønoversigt til hjemmesiden'!A43</f>
        <v>Kl. 22.00 til kl. 06.00</v>
      </c>
      <c r="C43" s="424">
        <f>'Lønoversigt til hjemmesiden'!B43</f>
        <v>41.3</v>
      </c>
      <c r="D43" s="425"/>
      <c r="E43" s="424">
        <f>'Lønoversigt til hjemmesiden'!D43</f>
        <v>41.959999999999994</v>
      </c>
      <c r="F43" s="425"/>
      <c r="G43" s="424">
        <f>'Lønoversigt til hjemmesiden'!F43</f>
        <v>42.629999999999995</v>
      </c>
      <c r="H43" s="151"/>
    </row>
    <row r="44" spans="1:16" ht="12" customHeight="1" x14ac:dyDescent="0.25">
      <c r="A44" s="151"/>
      <c r="B44" s="512" t="str">
        <f>'Lønoversigt til hjemmesiden'!$A$44</f>
        <v>(påbegyndt inden kl. 24.00)</v>
      </c>
      <c r="C44" s="446"/>
      <c r="D44" s="446"/>
      <c r="E44" s="446"/>
      <c r="F44" s="446"/>
      <c r="G44" s="446"/>
      <c r="H44" s="151"/>
    </row>
    <row r="45" spans="1:16" ht="14.1" customHeight="1" x14ac:dyDescent="0.25">
      <c r="A45" s="151"/>
      <c r="B45" s="444" t="str">
        <f>'Lønoversigt til hjemmesiden'!A45</f>
        <v>Kl. 24.00 til kl. 06.00</v>
      </c>
      <c r="C45" s="424">
        <f>'Lønoversigt til hjemmesiden'!B45</f>
        <v>50.22</v>
      </c>
      <c r="D45" s="430"/>
      <c r="E45" s="424">
        <f>'Lønoversigt til hjemmesiden'!D45</f>
        <v>51.019999999999996</v>
      </c>
      <c r="F45" s="425"/>
      <c r="G45" s="424">
        <f>'Lønoversigt til hjemmesiden'!F45</f>
        <v>51.839999999999996</v>
      </c>
      <c r="H45" s="151"/>
    </row>
    <row r="46" spans="1:16" ht="12" customHeight="1" x14ac:dyDescent="0.25">
      <c r="A46" s="151"/>
      <c r="B46" s="513" t="str">
        <f>'Lønoversigt til hjemmesiden'!$A$46</f>
        <v>(påbegyndt efter kl. 24.00)</v>
      </c>
      <c r="C46" s="444"/>
      <c r="D46" s="444"/>
      <c r="E46" s="444"/>
      <c r="F46" s="444"/>
      <c r="G46" s="444"/>
      <c r="H46" s="151"/>
    </row>
    <row r="47" spans="1:16" ht="14.1" customHeight="1" x14ac:dyDescent="0.25">
      <c r="A47" s="151"/>
      <c r="B47" s="513"/>
      <c r="C47" s="444"/>
      <c r="D47" s="444"/>
      <c r="E47" s="444"/>
      <c r="F47" s="444"/>
      <c r="G47" s="444"/>
      <c r="H47" s="151"/>
    </row>
    <row r="48" spans="1:16" ht="14.1" customHeight="1" x14ac:dyDescent="0.25">
      <c r="A48" s="151"/>
      <c r="B48" s="154"/>
      <c r="C48" s="422" t="str">
        <f>$C$6</f>
        <v>1. mar. 2020</v>
      </c>
      <c r="D48" s="152"/>
      <c r="E48" s="422" t="str">
        <f>$E$6</f>
        <v>1. mar. 2021</v>
      </c>
      <c r="F48" s="152"/>
      <c r="G48" s="422" t="str">
        <f>$G$6</f>
        <v>1. mar. 2022</v>
      </c>
      <c r="H48" s="151"/>
    </row>
    <row r="49" spans="1:14" ht="14.1" customHeight="1" x14ac:dyDescent="0.25">
      <c r="A49" s="151"/>
      <c r="B49" s="153" t="str">
        <f>'Lønoversigt til hjemmesiden'!A48</f>
        <v>Varslingstilllæg</v>
      </c>
      <c r="C49" s="424">
        <f>'Lønoversigt til hjemmesiden'!B48</f>
        <v>71.040000000000006</v>
      </c>
      <c r="D49" s="430"/>
      <c r="E49" s="424">
        <f>'Lønoversigt til hjemmesiden'!D48</f>
        <v>71.040000000000006</v>
      </c>
      <c r="F49" s="425"/>
      <c r="G49" s="424">
        <f>'Lønoversigt til hjemmesiden'!F48</f>
        <v>71.040000000000006</v>
      </c>
      <c r="H49" s="151"/>
    </row>
    <row r="50" spans="1:14" ht="14.1" customHeight="1" x14ac:dyDescent="0.25">
      <c r="A50" s="151"/>
      <c r="B50" s="153" t="str">
        <f>'Lønoversigt til hjemmesiden'!A49</f>
        <v>Smudstillæg</v>
      </c>
      <c r="C50" s="424">
        <f>'Lønoversigt til hjemmesiden'!B49</f>
        <v>5.56</v>
      </c>
      <c r="D50" s="430"/>
      <c r="E50" s="424">
        <f>'Lønoversigt til hjemmesiden'!D49</f>
        <v>5.6599999999999993</v>
      </c>
      <c r="F50" s="425"/>
      <c r="G50" s="424">
        <f>'Lønoversigt til hjemmesiden'!F49</f>
        <v>5.7399999999999993</v>
      </c>
      <c r="H50" s="151"/>
    </row>
    <row r="51" spans="1:14" ht="14.1" customHeight="1" x14ac:dyDescent="0.25">
      <c r="A51" s="151"/>
      <c r="B51" s="153"/>
      <c r="C51" s="153"/>
      <c r="D51" s="153"/>
      <c r="E51" s="153"/>
      <c r="F51" s="153"/>
      <c r="G51" s="153"/>
      <c r="H51" s="151"/>
      <c r="L51" s="131"/>
      <c r="M51" s="131"/>
      <c r="N51" s="131"/>
    </row>
    <row r="52" spans="1:14" ht="14.1" customHeight="1" x14ac:dyDescent="0.25">
      <c r="A52" s="151"/>
      <c r="B52" s="153" t="str">
        <f>'Lønoversigt til hjemmesiden'!A51</f>
        <v>Fratrædelsesgodtgørelse</v>
      </c>
      <c r="C52" s="433"/>
      <c r="D52" s="430"/>
      <c r="E52" s="434"/>
      <c r="F52" s="425"/>
      <c r="G52" s="434"/>
      <c r="H52" s="151"/>
      <c r="L52" s="131"/>
      <c r="M52" s="131"/>
      <c r="N52" s="131"/>
    </row>
    <row r="53" spans="1:14" ht="14.1" customHeight="1" x14ac:dyDescent="0.25">
      <c r="A53" s="151"/>
      <c r="B53" s="445" t="str">
        <f>'Lønoversigt til hjemmesiden'!A52</f>
        <v>Efter 3 års ansættelse</v>
      </c>
      <c r="C53" s="424">
        <f>'Lønoversigt til hjemmesiden'!B52</f>
        <v>5000</v>
      </c>
      <c r="D53" s="430"/>
      <c r="E53" s="424">
        <f>'Lønoversigt til hjemmesiden'!D52</f>
        <v>5000</v>
      </c>
      <c r="F53" s="425"/>
      <c r="G53" s="424">
        <f>'Lønoversigt til hjemmesiden'!F52</f>
        <v>5000</v>
      </c>
      <c r="H53" s="151"/>
      <c r="I53" s="131"/>
      <c r="J53" s="131"/>
      <c r="K53" s="131"/>
      <c r="L53" s="131"/>
      <c r="M53" s="131"/>
      <c r="N53" s="131"/>
    </row>
    <row r="54" spans="1:14" ht="14.1" customHeight="1" x14ac:dyDescent="0.25">
      <c r="A54" s="151"/>
      <c r="B54" s="445" t="str">
        <f>'Lønoversigt til hjemmesiden'!A53</f>
        <v>Efter 6 års ansættelse</v>
      </c>
      <c r="C54" s="424">
        <f>'Lønoversigt til hjemmesiden'!B53</f>
        <v>10000</v>
      </c>
      <c r="D54" s="430"/>
      <c r="E54" s="424">
        <f>'Lønoversigt til hjemmesiden'!D53</f>
        <v>10000</v>
      </c>
      <c r="F54" s="425"/>
      <c r="G54" s="424">
        <f>'Lønoversigt til hjemmesiden'!F53</f>
        <v>10000</v>
      </c>
      <c r="H54" s="151"/>
      <c r="I54" s="131"/>
      <c r="J54" s="131"/>
      <c r="K54" s="131"/>
      <c r="L54" s="131"/>
      <c r="M54" s="131"/>
      <c r="N54" s="131"/>
    </row>
    <row r="55" spans="1:14" ht="14.1" customHeight="1" x14ac:dyDescent="0.25">
      <c r="A55" s="151"/>
      <c r="B55" s="445" t="str">
        <f>'Lønoversigt til hjemmesiden'!A54</f>
        <v>Efter 8 års ansættelse</v>
      </c>
      <c r="C55" s="424">
        <f>'Lønoversigt til hjemmesiden'!B54</f>
        <v>15000</v>
      </c>
      <c r="D55" s="430"/>
      <c r="E55" s="424">
        <f>'Lønoversigt til hjemmesiden'!D54</f>
        <v>15000</v>
      </c>
      <c r="F55" s="425"/>
      <c r="G55" s="424">
        <f>'Lønoversigt til hjemmesiden'!F54</f>
        <v>15000</v>
      </c>
      <c r="H55" s="151"/>
      <c r="I55" s="131"/>
      <c r="J55" s="131"/>
      <c r="K55" s="131"/>
      <c r="L55" s="131"/>
      <c r="M55" s="131"/>
      <c r="N55" s="131"/>
    </row>
    <row r="56" spans="1:14" ht="14.1" customHeight="1" x14ac:dyDescent="0.25">
      <c r="A56" s="151"/>
      <c r="B56" s="153"/>
      <c r="C56" s="434"/>
      <c r="D56" s="430"/>
      <c r="E56" s="434"/>
      <c r="F56" s="425"/>
      <c r="G56" s="434"/>
      <c r="H56" s="151"/>
      <c r="I56" s="131"/>
      <c r="J56" s="131"/>
      <c r="K56" s="131"/>
      <c r="L56" s="131"/>
      <c r="M56" s="131"/>
      <c r="N56" s="131"/>
    </row>
    <row r="57" spans="1:14" ht="14.1" customHeight="1" x14ac:dyDescent="0.25">
      <c r="A57" s="151"/>
      <c r="B57" s="153" t="str">
        <f>'Lønoversigt til hjemmesiden'!A56</f>
        <v>Frihedskonto</v>
      </c>
      <c r="C57" s="435">
        <f>'Lønoversigt til hjemmesiden'!B56</f>
        <v>6.7500000000000004E-2</v>
      </c>
      <c r="D57" s="430"/>
      <c r="E57" s="435">
        <f>'Lønoversigt til hjemmesiden'!D56</f>
        <v>6.7500000000000004E-2</v>
      </c>
      <c r="F57" s="425"/>
      <c r="G57" s="435">
        <f>'Lønoversigt til hjemmesiden'!F56</f>
        <v>6.7500000000000004E-2</v>
      </c>
      <c r="H57" s="158"/>
      <c r="I57" s="131"/>
      <c r="J57" s="131"/>
      <c r="K57" s="131"/>
    </row>
    <row r="58" spans="1:14" ht="12" customHeight="1" x14ac:dyDescent="0.25">
      <c r="A58" s="151"/>
      <c r="B58" s="448" t="str">
        <f>'Lønoversigt til hjemmesiden'!A57</f>
        <v>Beregnes af ferieberettiget løn</v>
      </c>
      <c r="C58" s="436"/>
      <c r="D58" s="430"/>
      <c r="E58" s="436"/>
      <c r="F58" s="425"/>
      <c r="G58" s="437"/>
      <c r="H58" s="158"/>
      <c r="I58" s="131"/>
      <c r="J58" s="131"/>
      <c r="K58" s="131"/>
    </row>
    <row r="59" spans="1:14" ht="14.1" customHeight="1" x14ac:dyDescent="0.25">
      <c r="A59" s="151"/>
      <c r="B59" s="157"/>
      <c r="C59" s="436"/>
      <c r="D59" s="430"/>
      <c r="E59" s="436"/>
      <c r="F59" s="425"/>
      <c r="G59" s="437"/>
      <c r="H59" s="158"/>
    </row>
    <row r="60" spans="1:14" ht="14.1" customHeight="1" x14ac:dyDescent="0.25">
      <c r="A60" s="151"/>
      <c r="B60" s="153" t="str">
        <f>Stigninger!A44</f>
        <v>Særlig opsparing</v>
      </c>
      <c r="C60" s="438">
        <f>Resultat!C46</f>
        <v>0.04</v>
      </c>
      <c r="D60" s="439"/>
      <c r="E60" s="438">
        <f>Resultat!D46</f>
        <v>0.05</v>
      </c>
      <c r="F60" s="440"/>
      <c r="G60" s="438">
        <f>Resultat!E46</f>
        <v>6.0000000000000005E-2</v>
      </c>
      <c r="H60" s="158"/>
    </row>
    <row r="61" spans="1:14" ht="12" customHeight="1" x14ac:dyDescent="0.25">
      <c r="A61" s="151"/>
      <c r="B61" s="448" t="str">
        <f>'Lønoversigt til hjemmesiden'!A60</f>
        <v>Beregnes af ferieberettiget løn</v>
      </c>
      <c r="C61" s="153"/>
      <c r="D61" s="153"/>
      <c r="E61" s="153"/>
      <c r="F61" s="153"/>
      <c r="G61" s="153"/>
      <c r="H61" s="158"/>
    </row>
    <row r="62" spans="1:14" ht="14.1" customHeight="1" x14ac:dyDescent="0.25">
      <c r="A62" s="151"/>
      <c r="B62" s="157"/>
      <c r="C62" s="436"/>
      <c r="D62" s="430"/>
      <c r="E62" s="436"/>
      <c r="F62" s="425"/>
      <c r="G62" s="437"/>
      <c r="H62" s="158"/>
    </row>
    <row r="63" spans="1:14" ht="14.1" customHeight="1" x14ac:dyDescent="0.25">
      <c r="A63" s="151"/>
      <c r="B63" s="154" t="str">
        <f>'Lønoversigt til hjemmesiden'!A62</f>
        <v>Pension</v>
      </c>
      <c r="C63" s="430"/>
      <c r="D63" s="430"/>
      <c r="E63" s="441"/>
      <c r="F63" s="425"/>
      <c r="G63" s="441"/>
      <c r="H63" s="151"/>
    </row>
    <row r="64" spans="1:14" ht="14.1" customHeight="1" x14ac:dyDescent="0.25">
      <c r="A64" s="151"/>
      <c r="B64" s="449" t="str">
        <f>'Lønoversigt til hjemmesiden'!A63</f>
        <v>Arbejdsgivers pensionsbidrag</v>
      </c>
      <c r="C64" s="435">
        <f>'Lønoversigt til hjemmesiden'!B63</f>
        <v>0.08</v>
      </c>
      <c r="D64" s="430"/>
      <c r="E64" s="435">
        <f>'Lønoversigt til hjemmesiden'!D63</f>
        <v>0.08</v>
      </c>
      <c r="F64" s="425"/>
      <c r="G64" s="435">
        <f>'Lønoversigt til hjemmesiden'!F63</f>
        <v>0.08</v>
      </c>
      <c r="H64" s="151"/>
    </row>
    <row r="65" spans="1:8" ht="14.1" customHeight="1" x14ac:dyDescent="0.25">
      <c r="A65" s="151"/>
      <c r="B65" s="449" t="str">
        <f>'Lønoversigt til hjemmesiden'!A64</f>
        <v>Lønmodtagers pensionsbidrag</v>
      </c>
      <c r="C65" s="442">
        <f>C64/2</f>
        <v>0.04</v>
      </c>
      <c r="D65" s="430"/>
      <c r="E65" s="442">
        <f>E64/2</f>
        <v>0.04</v>
      </c>
      <c r="F65" s="425"/>
      <c r="G65" s="442">
        <f>G64/2</f>
        <v>0.04</v>
      </c>
      <c r="H65" s="151"/>
    </row>
    <row r="66" spans="1:8" ht="15" customHeight="1" thickBot="1" x14ac:dyDescent="0.3">
      <c r="A66" s="151"/>
      <c r="B66" s="156" t="str">
        <f>'Lønoversigt til hjemmesiden'!A65</f>
        <v>Pensionsbidrag i alt</v>
      </c>
      <c r="C66" s="443">
        <f>SUM(C64:C65)</f>
        <v>0.12</v>
      </c>
      <c r="D66" s="430"/>
      <c r="E66" s="443">
        <f>SUM(E64:E65)</f>
        <v>0.12</v>
      </c>
      <c r="F66" s="425"/>
      <c r="G66" s="443">
        <f>SUM(G64:G65)</f>
        <v>0.12</v>
      </c>
      <c r="H66" s="151"/>
    </row>
    <row r="67" spans="1:8" ht="14.1" customHeight="1" thickTop="1" x14ac:dyDescent="0.25">
      <c r="A67" s="151"/>
      <c r="B67" s="151"/>
      <c r="C67" s="151"/>
      <c r="D67" s="151"/>
      <c r="E67" s="151"/>
      <c r="F67" s="151"/>
      <c r="G67" s="151"/>
      <c r="H67" s="151"/>
    </row>
    <row r="68" spans="1:8" ht="14.1" customHeight="1" x14ac:dyDescent="0.25">
      <c r="B68" s="165"/>
    </row>
    <row r="69" spans="1:8" ht="14.1" customHeight="1" x14ac:dyDescent="0.25"/>
    <row r="70" spans="1:8" ht="14.1" customHeight="1" x14ac:dyDescent="0.25"/>
    <row r="71" spans="1:8" ht="14.1" customHeight="1" x14ac:dyDescent="0.25"/>
    <row r="72" spans="1:8" ht="14.1" customHeight="1" x14ac:dyDescent="0.25"/>
  </sheetData>
  <sheetProtection algorithmName="SHA-512" hashValue="BneB1x85qblZ0zRX87wpo5Z3pYPcYzcWpydPkgJsgcXg3dA7azqZytGr+yCoxZzwp+j3HXNdZE6sNDB+u8Mr+w==" saltValue="tasGIToVxa1H93hJXe/fjg==" spinCount="100000" sheet="1" objects="1" scenarios="1"/>
  <mergeCells count="5">
    <mergeCell ref="A5:H5"/>
    <mergeCell ref="A2:H2"/>
    <mergeCell ref="A3:H3"/>
    <mergeCell ref="A4:H4"/>
    <mergeCell ref="A1:H1"/>
  </mergeCells>
  <phoneticPr fontId="0" type="noConversion"/>
  <printOptions horizontalCentered="1"/>
  <pageMargins left="0.78740157480314965" right="0.78740157480314965" top="0.98425196850393704" bottom="0.59055118110236227" header="0.59055118110236227" footer="0.39370078740157483"/>
  <pageSetup paperSize="9" orientation="portrait" draft="1" r:id="rId1"/>
  <headerFooter alignWithMargins="0">
    <oddFooter>&amp;L&amp;9&amp;F&amp;R&amp;9&amp;D, kl. &amp;T</oddFooter>
  </headerFooter>
  <rowBreaks count="1" manualBreakCount="1">
    <brk id="45" max="16383" man="1"/>
  </rowBreaks>
  <ignoredErrors>
    <ignoredError sqref="C16:J16 C10:J1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76"/>
  <sheetViews>
    <sheetView showGridLines="0" showRowColHeaders="0" topLeftCell="A3" zoomScale="216" zoomScaleNormal="216" zoomScaleSheetLayoutView="150" workbookViewId="0">
      <selection activeCell="A17" sqref="A17"/>
    </sheetView>
  </sheetViews>
  <sheetFormatPr defaultRowHeight="12.75" x14ac:dyDescent="0.2"/>
  <cols>
    <col min="1" max="1" width="2.7109375" style="131" customWidth="1"/>
    <col min="2" max="2" width="42.140625" style="143" customWidth="1"/>
    <col min="3" max="3" width="11.42578125" style="131" customWidth="1"/>
    <col min="4" max="4" width="2.7109375" style="131" customWidth="1"/>
    <col min="5" max="5" width="11.42578125" style="131" bestFit="1" customWidth="1"/>
    <col min="6" max="6" width="2.7109375" style="131" customWidth="1"/>
    <col min="7" max="7" width="11.42578125" style="131" customWidth="1"/>
    <col min="8" max="8" width="2.42578125" style="131" customWidth="1"/>
    <col min="9" max="9" width="2.7109375" style="131" customWidth="1"/>
    <col min="10" max="10" width="9.28515625" style="131" hidden="1" customWidth="1"/>
    <col min="11" max="11" width="2.7109375" style="131" hidden="1" customWidth="1"/>
    <col min="12" max="12" width="36.42578125" style="131" hidden="1" customWidth="1"/>
    <col min="13" max="16" width="5" style="131" hidden="1" customWidth="1"/>
    <col min="17" max="16384" width="9.140625" style="131"/>
  </cols>
  <sheetData>
    <row r="1" spans="1:21" ht="20.25" customHeight="1" x14ac:dyDescent="0.3">
      <c r="A1" s="554" t="str">
        <f>'Lønoversigt til hjemmesiden'!A1:F1</f>
        <v>Vaskerioverenskomst mellem DIO II (ADV) og 3F</v>
      </c>
      <c r="B1" s="550"/>
      <c r="C1" s="550"/>
      <c r="D1" s="550"/>
      <c r="E1" s="550"/>
      <c r="F1" s="550"/>
      <c r="G1" s="550"/>
      <c r="H1" s="550"/>
      <c r="I1" s="395"/>
      <c r="J1" s="400"/>
      <c r="K1" s="400"/>
    </row>
    <row r="2" spans="1:21" ht="20.25" customHeight="1" x14ac:dyDescent="0.3">
      <c r="A2" s="558" t="s">
        <v>51</v>
      </c>
      <c r="B2" s="559"/>
      <c r="C2" s="559"/>
      <c r="D2" s="559"/>
      <c r="E2" s="559"/>
      <c r="F2" s="559"/>
      <c r="G2" s="560"/>
      <c r="H2" s="560"/>
    </row>
    <row r="3" spans="1:21" ht="20.25" customHeight="1" x14ac:dyDescent="0.3">
      <c r="A3" s="558" t="str">
        <f>'Nye lønninger'!A3:H3</f>
        <v>1. marts 2020 til 28. februar 2023</v>
      </c>
      <c r="B3" s="559"/>
      <c r="C3" s="559"/>
      <c r="D3" s="559"/>
      <c r="E3" s="559"/>
      <c r="F3" s="559"/>
      <c r="G3" s="560"/>
      <c r="H3" s="560"/>
    </row>
    <row r="4" spans="1:21" ht="15" x14ac:dyDescent="0.25">
      <c r="A4" s="552" t="str">
        <f>'Lønoversigt til hjemmesiden'!A4:F4</f>
        <v>Gældende fra begyndelsen af den lønningsuge hvori 1. marts indgår.</v>
      </c>
      <c r="B4" s="559"/>
      <c r="C4" s="559"/>
      <c r="D4" s="559"/>
      <c r="E4" s="559"/>
      <c r="F4" s="559"/>
      <c r="G4" s="560"/>
      <c r="H4" s="560"/>
    </row>
    <row r="5" spans="1:21" ht="14.1" customHeight="1" x14ac:dyDescent="0.2">
      <c r="A5" s="556"/>
      <c r="B5" s="557"/>
      <c r="C5" s="557"/>
      <c r="D5" s="557"/>
      <c r="E5" s="557"/>
      <c r="F5" s="557"/>
      <c r="G5" s="557"/>
      <c r="H5" s="557"/>
    </row>
    <row r="6" spans="1:21" ht="15" x14ac:dyDescent="0.25">
      <c r="A6" s="158"/>
      <c r="B6" s="161" t="s">
        <v>18</v>
      </c>
      <c r="C6" s="159"/>
      <c r="D6" s="158"/>
      <c r="E6" s="158"/>
      <c r="F6" s="158"/>
      <c r="G6" s="158"/>
      <c r="H6" s="158"/>
      <c r="S6" s="137"/>
      <c r="T6" s="137"/>
      <c r="U6" s="137"/>
    </row>
    <row r="7" spans="1:21" ht="15" x14ac:dyDescent="0.25">
      <c r="A7" s="158"/>
      <c r="B7" s="162" t="s">
        <v>49</v>
      </c>
      <c r="C7" s="370" t="str">
        <f>L7</f>
        <v>Overenskomst/arbejdsfunktion</v>
      </c>
      <c r="D7" s="158"/>
      <c r="E7" s="158"/>
      <c r="F7" s="158"/>
      <c r="G7" s="158"/>
      <c r="H7" s="158"/>
      <c r="L7" s="132" t="s">
        <v>16</v>
      </c>
      <c r="S7" s="137"/>
      <c r="T7" s="137"/>
      <c r="U7" s="137"/>
    </row>
    <row r="8" spans="1:21" ht="15" x14ac:dyDescent="0.25">
      <c r="A8" s="158"/>
      <c r="B8" s="163" t="s">
        <v>87</v>
      </c>
      <c r="C8" s="370" t="str">
        <f>L10</f>
        <v>Anciennitet</v>
      </c>
      <c r="D8" s="158"/>
      <c r="E8" s="158"/>
      <c r="F8" s="158"/>
      <c r="G8" s="158"/>
      <c r="H8" s="158"/>
      <c r="L8" s="164" t="s">
        <v>49</v>
      </c>
    </row>
    <row r="9" spans="1:21" ht="14.1" customHeight="1" x14ac:dyDescent="0.2">
      <c r="A9" s="158"/>
      <c r="B9" s="160"/>
      <c r="C9" s="158"/>
      <c r="D9" s="158"/>
      <c r="E9" s="158"/>
      <c r="F9" s="158"/>
      <c r="G9" s="158"/>
      <c r="H9" s="158"/>
      <c r="L9" s="133"/>
    </row>
    <row r="10" spans="1:21" ht="14.1" customHeight="1" x14ac:dyDescent="0.25">
      <c r="A10" s="158"/>
      <c r="B10" s="153"/>
      <c r="C10" s="422" t="str">
        <f>'Nye lønninger'!$C$6</f>
        <v>1. mar. 2020</v>
      </c>
      <c r="D10" s="152"/>
      <c r="E10" s="422" t="str">
        <f>'Nye lønninger'!$E$6</f>
        <v>1. mar. 2021</v>
      </c>
      <c r="F10" s="152"/>
      <c r="G10" s="422" t="str">
        <f>'Nye lønninger'!$G$6</f>
        <v>1. mar. 2022</v>
      </c>
      <c r="H10" s="158"/>
      <c r="J10" s="490" t="str">
        <f>'Nye lønninger'!J6</f>
        <v>29.2.2020</v>
      </c>
      <c r="L10" s="132" t="s">
        <v>19</v>
      </c>
      <c r="M10" s="134">
        <v>2019</v>
      </c>
      <c r="N10" s="135">
        <v>2020</v>
      </c>
      <c r="O10" s="135">
        <v>2021</v>
      </c>
      <c r="P10" s="136">
        <v>2022</v>
      </c>
    </row>
    <row r="11" spans="1:21" ht="14.1" customHeight="1" x14ac:dyDescent="0.2">
      <c r="A11" s="158"/>
      <c r="B11" s="445" t="str">
        <f>'Lønoversigt til hjemmesiden'!A7</f>
        <v>Timeløn for voksne</v>
      </c>
      <c r="C11" s="450">
        <f>Stigninger!C3</f>
        <v>3.2</v>
      </c>
      <c r="D11" s="451"/>
      <c r="E11" s="450">
        <f>Stigninger!D3</f>
        <v>3.2</v>
      </c>
      <c r="F11" s="451"/>
      <c r="G11" s="450">
        <f>Stigninger!E3</f>
        <v>3.15</v>
      </c>
      <c r="H11" s="158"/>
      <c r="J11" s="518">
        <f>Resultat!B3</f>
        <v>127.74999999999999</v>
      </c>
      <c r="L11" s="471" t="s">
        <v>86</v>
      </c>
      <c r="M11" s="500">
        <v>0</v>
      </c>
      <c r="N11" s="501">
        <v>0</v>
      </c>
      <c r="O11" s="501">
        <v>0</v>
      </c>
      <c r="P11" s="502">
        <v>0</v>
      </c>
    </row>
    <row r="12" spans="1:21" ht="14.1" customHeight="1" x14ac:dyDescent="0.2">
      <c r="A12" s="158"/>
      <c r="B12" s="445" t="str">
        <f>'Lønoversigt til hjemmesiden'!A8</f>
        <v>Vaskeritillæg</v>
      </c>
      <c r="C12" s="450">
        <f>Stigninger!C7</f>
        <v>0</v>
      </c>
      <c r="D12" s="451"/>
      <c r="E12" s="450">
        <f>Stigninger!D7</f>
        <v>0</v>
      </c>
      <c r="F12" s="451"/>
      <c r="G12" s="450">
        <f>Stigninger!E7</f>
        <v>0</v>
      </c>
      <c r="H12" s="158"/>
      <c r="J12" s="516">
        <f>Resultat!B4</f>
        <v>4.9499999999999993</v>
      </c>
      <c r="L12" s="472" t="s">
        <v>87</v>
      </c>
      <c r="M12" s="499">
        <f>Resultat!B6</f>
        <v>9.1999999999999993</v>
      </c>
      <c r="N12" s="141">
        <f>Stigninger!C8</f>
        <v>0</v>
      </c>
      <c r="O12" s="141">
        <f>Stigninger!D8</f>
        <v>0</v>
      </c>
      <c r="P12" s="142">
        <f>Stigninger!E8</f>
        <v>0</v>
      </c>
    </row>
    <row r="13" spans="1:21" ht="14.1" customHeight="1" x14ac:dyDescent="0.2">
      <c r="A13" s="158"/>
      <c r="B13" s="445" t="str">
        <f>Resultat!A6</f>
        <v>Anciennitetstillæg efter 12 måneder</v>
      </c>
      <c r="C13" s="452">
        <f>VLOOKUP($B$8,$L$11:$P$12,3)</f>
        <v>0</v>
      </c>
      <c r="D13" s="437"/>
      <c r="E13" s="452">
        <f>VLOOKUP($B$8,$L$11:$P$12,4)</f>
        <v>0</v>
      </c>
      <c r="F13" s="451"/>
      <c r="G13" s="452">
        <f>VLOOKUP($B$8,$L$11:$P$12,5)</f>
        <v>0</v>
      </c>
      <c r="H13" s="158"/>
      <c r="J13" s="519">
        <f>VLOOKUP($B$8,$L$11:$P$12,2)</f>
        <v>9.1999999999999993</v>
      </c>
    </row>
    <row r="14" spans="1:21" ht="14.1" customHeight="1" x14ac:dyDescent="0.2">
      <c r="A14" s="158"/>
      <c r="B14" s="157" t="str">
        <f>'Lønoversigt til hjemmesiden'!A9</f>
        <v>Timeløn i alt</v>
      </c>
      <c r="C14" s="497">
        <f>SUM(C11:C13)</f>
        <v>3.2</v>
      </c>
      <c r="D14" s="469"/>
      <c r="E14" s="497">
        <f>SUM(E11:E13)</f>
        <v>3.2</v>
      </c>
      <c r="F14" s="514"/>
      <c r="G14" s="497">
        <f>SUM(G11:G13)</f>
        <v>3.15</v>
      </c>
      <c r="H14" s="158"/>
      <c r="J14" s="493">
        <f>SUM(J11:J13)</f>
        <v>141.89999999999998</v>
      </c>
    </row>
    <row r="15" spans="1:21" ht="14.1" customHeight="1" x14ac:dyDescent="0.2">
      <c r="A15" s="485"/>
      <c r="B15" s="479" t="str">
        <f>'Lønoversigt til hjemmesiden'!A12</f>
        <v>Særlig opsparing i beløb</v>
      </c>
      <c r="C15" s="496">
        <f>$J$14*C62+C14*(Resultat!$B$46+C62)</f>
        <v>1.5469999999999997</v>
      </c>
      <c r="D15" s="430"/>
      <c r="E15" s="496">
        <f>($J$14+C14)*E62+E14*(Resultat!$B$46+C62+E62)</f>
        <v>1.6109999999999998</v>
      </c>
      <c r="F15" s="430"/>
      <c r="G15" s="496">
        <f>($J$14+C14+E14)*G62+G14*(Resultat!$B$46+C62+E62+G62)</f>
        <v>1.6719999999999997</v>
      </c>
      <c r="H15" s="485"/>
      <c r="J15" s="520"/>
    </row>
    <row r="16" spans="1:21" ht="15" customHeight="1" thickBot="1" x14ac:dyDescent="0.25">
      <c r="A16" s="485"/>
      <c r="B16" s="482" t="str">
        <f>'Lønoversigt til hjemmesiden'!A13</f>
        <v>I alt inkl. særlig opsparing</v>
      </c>
      <c r="C16" s="515">
        <f>SUM(C14:C15)</f>
        <v>4.7469999999999999</v>
      </c>
      <c r="D16" s="482"/>
      <c r="E16" s="515">
        <f>SUM(E14:E15)</f>
        <v>4.8109999999999999</v>
      </c>
      <c r="F16" s="482"/>
      <c r="G16" s="495">
        <f>SUM(G14:G15)</f>
        <v>4.8219999999999992</v>
      </c>
      <c r="H16" s="485"/>
    </row>
    <row r="17" spans="1:8" ht="15" customHeight="1" thickTop="1" thickBot="1" x14ac:dyDescent="0.25">
      <c r="A17" s="485"/>
      <c r="B17" s="482" t="str">
        <f>'Lønoversigt til hjemmesiden'!A18</f>
        <v>Samlet stigning pr. time 2020-2023</v>
      </c>
      <c r="C17" s="482"/>
      <c r="D17" s="482"/>
      <c r="E17" s="482"/>
      <c r="F17" s="482"/>
      <c r="G17" s="489">
        <f>SUM(C16:G16)</f>
        <v>14.379999999999999</v>
      </c>
      <c r="H17" s="485"/>
    </row>
    <row r="18" spans="1:8" ht="14.1" customHeight="1" thickTop="1" x14ac:dyDescent="0.2">
      <c r="A18" s="485"/>
      <c r="B18" s="482"/>
      <c r="C18" s="482"/>
      <c r="D18" s="482"/>
      <c r="E18" s="482"/>
      <c r="F18" s="482"/>
      <c r="G18" s="482"/>
      <c r="H18" s="485"/>
    </row>
    <row r="19" spans="1:8" ht="14.1" customHeight="1" x14ac:dyDescent="0.2">
      <c r="A19" s="485"/>
      <c r="B19" s="479" t="str">
        <f>'Lønoversigt til hjemmesiden'!A16</f>
        <v>Arbejdsgivers pensionsbidrag</v>
      </c>
      <c r="C19" s="486">
        <f>C16*Resultat!C49</f>
        <v>0.37975999999999999</v>
      </c>
      <c r="D19" s="479"/>
      <c r="E19" s="486">
        <f>E16*Resultat!D49</f>
        <v>0.38488</v>
      </c>
      <c r="F19" s="479"/>
      <c r="G19" s="486">
        <f>G16*Resultat!E49</f>
        <v>0.38575999999999994</v>
      </c>
      <c r="H19" s="485"/>
    </row>
    <row r="20" spans="1:8" ht="15" customHeight="1" thickBot="1" x14ac:dyDescent="0.25">
      <c r="A20" s="485"/>
      <c r="B20" s="482" t="str">
        <f>'Lønoversigt til hjemmesiden'!A17</f>
        <v>I alt inkl. særlig opsparing og pension</v>
      </c>
      <c r="C20" s="487">
        <f>SUM(C16:C19)</f>
        <v>5.12676</v>
      </c>
      <c r="D20" s="479"/>
      <c r="E20" s="487">
        <f>SUM(E16:E19)</f>
        <v>5.1958799999999998</v>
      </c>
      <c r="F20" s="484"/>
      <c r="G20" s="487">
        <f>SUM(G16:G19)-G17</f>
        <v>5.2077600000000004</v>
      </c>
      <c r="H20" s="485"/>
    </row>
    <row r="21" spans="1:8" ht="15" customHeight="1" thickTop="1" thickBot="1" x14ac:dyDescent="0.25">
      <c r="A21" s="485"/>
      <c r="B21" s="482" t="str">
        <f>'Lønoversigt til hjemmesiden'!A18</f>
        <v>Samlet stigning pr. time 2020-2023</v>
      </c>
      <c r="C21" s="488"/>
      <c r="D21" s="479"/>
      <c r="E21" s="488"/>
      <c r="F21" s="484"/>
      <c r="G21" s="489">
        <f>SUM(C20:G20)</f>
        <v>15.5304</v>
      </c>
      <c r="H21" s="485"/>
    </row>
    <row r="22" spans="1:8" ht="14.1" customHeight="1" thickTop="1" x14ac:dyDescent="0.2">
      <c r="A22" s="158"/>
      <c r="B22" s="157"/>
      <c r="C22" s="453"/>
      <c r="D22" s="454"/>
      <c r="E22" s="453"/>
      <c r="F22" s="451"/>
      <c r="G22" s="453"/>
      <c r="H22" s="158"/>
    </row>
    <row r="23" spans="1:8" ht="14.1" customHeight="1" x14ac:dyDescent="0.25">
      <c r="A23" s="158"/>
      <c r="B23" s="153" t="str">
        <f>'Nye lønninger'!B20</f>
        <v>Garantibetaling for voksne</v>
      </c>
      <c r="C23" s="450">
        <f>Stigninger!C4</f>
        <v>3.2</v>
      </c>
      <c r="D23" s="451"/>
      <c r="E23" s="450">
        <f>Stigninger!D4</f>
        <v>3.2</v>
      </c>
      <c r="F23" s="451"/>
      <c r="G23" s="450">
        <f>Stigninger!E4</f>
        <v>3.15</v>
      </c>
      <c r="H23" s="158"/>
    </row>
    <row r="24" spans="1:8" ht="14.1" customHeight="1" x14ac:dyDescent="0.2">
      <c r="A24" s="158"/>
      <c r="B24" s="157"/>
      <c r="C24" s="453"/>
      <c r="D24" s="454"/>
      <c r="E24" s="453"/>
      <c r="F24" s="451"/>
      <c r="G24" s="453"/>
      <c r="H24" s="158"/>
    </row>
    <row r="25" spans="1:8" ht="14.1" customHeight="1" x14ac:dyDescent="0.25">
      <c r="A25" s="158"/>
      <c r="B25" s="153" t="str">
        <f>'Nye lønninger'!B22</f>
        <v>Timeløn for unge under 18 år</v>
      </c>
      <c r="C25" s="450">
        <f>Stigninger!C5</f>
        <v>3.2</v>
      </c>
      <c r="D25" s="451"/>
      <c r="E25" s="450">
        <f>Stigninger!D5</f>
        <v>3.2</v>
      </c>
      <c r="F25" s="451"/>
      <c r="G25" s="450">
        <f>Stigninger!E5</f>
        <v>3.15</v>
      </c>
      <c r="H25" s="158"/>
    </row>
    <row r="26" spans="1:8" ht="14.1" customHeight="1" x14ac:dyDescent="0.2">
      <c r="A26" s="158"/>
      <c r="B26" s="157"/>
      <c r="C26" s="451"/>
      <c r="D26" s="451"/>
      <c r="E26" s="451"/>
      <c r="F26" s="451"/>
      <c r="G26" s="451"/>
      <c r="H26" s="158"/>
    </row>
    <row r="27" spans="1:8" ht="14.1" customHeight="1" x14ac:dyDescent="0.25">
      <c r="A27" s="158"/>
      <c r="B27" s="153" t="str">
        <f>'Nye lønninger'!B24</f>
        <v>Kursustillæg</v>
      </c>
      <c r="C27" s="452">
        <f>Stigninger!C9</f>
        <v>0</v>
      </c>
      <c r="D27" s="437"/>
      <c r="E27" s="452">
        <f>Stigninger!D9</f>
        <v>0</v>
      </c>
      <c r="F27" s="437"/>
      <c r="G27" s="452">
        <f>Stigninger!E9</f>
        <v>0</v>
      </c>
      <c r="H27" s="158"/>
    </row>
    <row r="28" spans="1:8" ht="14.1" customHeight="1" x14ac:dyDescent="0.25">
      <c r="A28" s="158"/>
      <c r="B28" s="153" t="str">
        <f>'Nye lønninger'!B25</f>
        <v>Mentortillæg</v>
      </c>
      <c r="C28" s="452">
        <f>Stigninger!C10</f>
        <v>0</v>
      </c>
      <c r="D28" s="437"/>
      <c r="E28" s="452">
        <f>Stigninger!D10</f>
        <v>0</v>
      </c>
      <c r="F28" s="437"/>
      <c r="G28" s="452">
        <f>Stigninger!E10</f>
        <v>0</v>
      </c>
      <c r="H28" s="158"/>
    </row>
    <row r="29" spans="1:8" ht="14.1" customHeight="1" x14ac:dyDescent="0.25">
      <c r="A29" s="158"/>
      <c r="B29" s="153"/>
      <c r="C29" s="455"/>
      <c r="D29" s="437"/>
      <c r="E29" s="455"/>
      <c r="F29" s="437"/>
      <c r="G29" s="455"/>
      <c r="H29" s="158"/>
    </row>
    <row r="30" spans="1:8" ht="14.1" customHeight="1" x14ac:dyDescent="0.25">
      <c r="A30" s="158"/>
      <c r="B30" s="153" t="str">
        <f>'Nye lønninger'!B27</f>
        <v>Overarbejdstillæg</v>
      </c>
      <c r="C30" s="437"/>
      <c r="D30" s="437"/>
      <c r="E30" s="437"/>
      <c r="F30" s="437"/>
      <c r="G30" s="437"/>
      <c r="H30" s="158"/>
    </row>
    <row r="31" spans="1:8" ht="27.95" customHeight="1" x14ac:dyDescent="0.2">
      <c r="A31" s="158"/>
      <c r="B31" s="444" t="str">
        <f>'Nye lønninger'!B28</f>
        <v>1. time efter normalarbejdstid og ved arbejde før normal arbejdstid i tidsrummet kl. 06.00-19.00</v>
      </c>
      <c r="C31" s="452">
        <f>Stigninger!C15</f>
        <v>0.63</v>
      </c>
      <c r="D31" s="437"/>
      <c r="E31" s="452">
        <f>Stigninger!D15</f>
        <v>0.64</v>
      </c>
      <c r="F31" s="437"/>
      <c r="G31" s="452">
        <f>Stigninger!E15</f>
        <v>0.65</v>
      </c>
      <c r="H31" s="158"/>
    </row>
    <row r="32" spans="1:8" ht="14.1" customHeight="1" x14ac:dyDescent="0.2">
      <c r="A32" s="158"/>
      <c r="B32" s="446" t="str">
        <f>'Nye lønninger'!B29</f>
        <v>2. til 4. time efter normalarbejdstid</v>
      </c>
      <c r="C32" s="452">
        <f>Stigninger!C16</f>
        <v>0.92</v>
      </c>
      <c r="D32" s="437"/>
      <c r="E32" s="452">
        <f>Stigninger!D16</f>
        <v>0.93</v>
      </c>
      <c r="F32" s="437"/>
      <c r="G32" s="452">
        <f>Stigninger!E16</f>
        <v>0.95</v>
      </c>
      <c r="H32" s="158"/>
    </row>
    <row r="33" spans="1:8" ht="42" customHeight="1" x14ac:dyDescent="0.2">
      <c r="A33" s="158"/>
      <c r="B33" s="444" t="str">
        <f>'Nye lønninger'!B30</f>
        <v>5. time efter normalarbejdstid og derefter og søn- og helligdage efter kl. 12.00 og ved arbejde før normal arbejdstid i tidsrummet kl. 06.00-19.00</v>
      </c>
      <c r="C33" s="452">
        <f>Stigninger!C17</f>
        <v>1.72</v>
      </c>
      <c r="D33" s="437"/>
      <c r="E33" s="452">
        <f>Stigninger!D17</f>
        <v>1.75</v>
      </c>
      <c r="F33" s="437"/>
      <c r="G33" s="452">
        <f>Stigninger!E17</f>
        <v>1.77</v>
      </c>
      <c r="H33" s="158"/>
    </row>
    <row r="34" spans="1:8" ht="14.1" customHeight="1" x14ac:dyDescent="0.2">
      <c r="A34" s="158"/>
      <c r="B34" s="157"/>
      <c r="C34" s="455"/>
      <c r="D34" s="437"/>
      <c r="E34" s="455"/>
      <c r="F34" s="437"/>
      <c r="G34" s="455"/>
      <c r="H34" s="158"/>
    </row>
    <row r="35" spans="1:8" ht="14.1" customHeight="1" x14ac:dyDescent="0.25">
      <c r="A35" s="151"/>
      <c r="B35" s="153" t="str">
        <f>'Nye lønninger'!B32</f>
        <v>Arbejde på tilsikret hel hverdagsfridag</v>
      </c>
      <c r="C35" s="429"/>
      <c r="D35" s="431"/>
      <c r="E35" s="431"/>
      <c r="F35" s="431"/>
      <c r="G35" s="431"/>
      <c r="H35" s="158"/>
    </row>
    <row r="36" spans="1:8" ht="14.1" customHeight="1" x14ac:dyDescent="0.25">
      <c r="A36" s="151"/>
      <c r="B36" s="445" t="str">
        <f>'Nye lønninger'!B33</f>
        <v>Timer mellem kl. 06.00 til kl. 19.00</v>
      </c>
      <c r="C36" s="456">
        <f>Stigninger!C20</f>
        <v>0.92</v>
      </c>
      <c r="D36" s="431"/>
      <c r="E36" s="456">
        <f>Stigninger!D20</f>
        <v>0.93</v>
      </c>
      <c r="F36" s="431"/>
      <c r="G36" s="456">
        <f>Stigninger!E20</f>
        <v>0.95</v>
      </c>
      <c r="H36" s="158"/>
    </row>
    <row r="37" spans="1:8" ht="14.1" customHeight="1" x14ac:dyDescent="0.25">
      <c r="A37" s="151"/>
      <c r="B37" s="445" t="str">
        <f>'Nye lønninger'!B34</f>
        <v>Timer mellem kl. 19.00 til kl. 06.00</v>
      </c>
      <c r="C37" s="456">
        <f>Stigninger!C21</f>
        <v>1.72</v>
      </c>
      <c r="D37" s="431"/>
      <c r="E37" s="456">
        <f>Stigninger!D21</f>
        <v>1.75</v>
      </c>
      <c r="F37" s="431"/>
      <c r="G37" s="456">
        <f>Stigninger!E21</f>
        <v>1.77</v>
      </c>
      <c r="H37" s="158"/>
    </row>
    <row r="38" spans="1:8" ht="14.1" customHeight="1" x14ac:dyDescent="0.25">
      <c r="A38" s="151"/>
      <c r="B38" s="157"/>
      <c r="C38" s="429"/>
      <c r="D38" s="431"/>
      <c r="E38" s="429"/>
      <c r="F38" s="431"/>
      <c r="G38" s="429"/>
      <c r="H38" s="158"/>
    </row>
    <row r="39" spans="1:8" ht="14.1" customHeight="1" x14ac:dyDescent="0.25">
      <c r="A39" s="151"/>
      <c r="B39" s="153" t="str">
        <f>'Nye lønninger'!B36</f>
        <v>Arbejde på søn- og helligdage</v>
      </c>
      <c r="C39" s="429"/>
      <c r="D39" s="431"/>
      <c r="E39" s="429"/>
      <c r="F39" s="431"/>
      <c r="G39" s="429"/>
      <c r="H39" s="158"/>
    </row>
    <row r="40" spans="1:8" ht="14.1" customHeight="1" x14ac:dyDescent="0.25">
      <c r="A40" s="151"/>
      <c r="B40" s="444" t="str">
        <f>'Nye lønninger'!B37</f>
        <v>Fra daglig normal hverdagsarbejdstid til kl 12.00</v>
      </c>
      <c r="C40" s="456">
        <f>Stigninger!C24</f>
        <v>1.1499999999999999</v>
      </c>
      <c r="D40" s="431"/>
      <c r="E40" s="456">
        <f>Stigninger!D24</f>
        <v>1.1599999999999999</v>
      </c>
      <c r="F40" s="431"/>
      <c r="G40" s="456">
        <f>Stigninger!E24</f>
        <v>1.18</v>
      </c>
      <c r="H40" s="158"/>
    </row>
    <row r="41" spans="1:8" ht="27.95" customHeight="1" x14ac:dyDescent="0.25">
      <c r="A41" s="151"/>
      <c r="B41" s="444" t="str">
        <f>'Nye lønninger'!B38</f>
        <v>Fra kl. 12.00 til normal hverdagsarbejdstids begyndelse</v>
      </c>
      <c r="C41" s="456">
        <f>Stigninger!C25</f>
        <v>1.72</v>
      </c>
      <c r="D41" s="431"/>
      <c r="E41" s="456">
        <f>Stigninger!D25</f>
        <v>1.75</v>
      </c>
      <c r="F41" s="431"/>
      <c r="G41" s="456">
        <f>Stigninger!E25</f>
        <v>1.77</v>
      </c>
      <c r="H41" s="158"/>
    </row>
    <row r="42" spans="1:8" ht="27.95" customHeight="1" x14ac:dyDescent="0.25">
      <c r="A42" s="151"/>
      <c r="B42" s="444" t="str">
        <f>'Nye lønninger'!B39</f>
        <v>Om morgenen forud for normal hverdagsarbejdstids begyndelse</v>
      </c>
      <c r="C42" s="456">
        <f>Stigninger!C26</f>
        <v>1.72</v>
      </c>
      <c r="D42" s="431"/>
      <c r="E42" s="456">
        <f>Stigninger!D26</f>
        <v>1.75</v>
      </c>
      <c r="F42" s="431"/>
      <c r="G42" s="456">
        <f>Stigninger!E26</f>
        <v>1.77</v>
      </c>
      <c r="H42" s="158"/>
    </row>
    <row r="43" spans="1:8" ht="14.1" customHeight="1" x14ac:dyDescent="0.25">
      <c r="A43" s="151"/>
      <c r="B43" s="154"/>
      <c r="C43" s="430"/>
      <c r="D43" s="429"/>
      <c r="E43" s="429"/>
      <c r="F43" s="429"/>
      <c r="G43" s="429"/>
      <c r="H43" s="158"/>
    </row>
    <row r="44" spans="1:8" ht="14.1" customHeight="1" x14ac:dyDescent="0.25">
      <c r="A44" s="158"/>
      <c r="B44" s="153" t="str">
        <f>'Nye lønninger'!B41</f>
        <v>Forskudttidstillæg</v>
      </c>
      <c r="C44" s="422" t="str">
        <f>$C$10</f>
        <v>1. mar. 2020</v>
      </c>
      <c r="D44" s="152"/>
      <c r="E44" s="422" t="str">
        <f>$C$10</f>
        <v>1. mar. 2020</v>
      </c>
      <c r="F44" s="152"/>
      <c r="G44" s="422" t="str">
        <f>$C$10</f>
        <v>1. mar. 2020</v>
      </c>
      <c r="H44" s="158"/>
    </row>
    <row r="45" spans="1:8" ht="14.1" customHeight="1" x14ac:dyDescent="0.2">
      <c r="A45" s="158"/>
      <c r="B45" s="445" t="str">
        <f>'Nye lønninger'!B42</f>
        <v>Kl. 19.00 til kl. 22.00</v>
      </c>
      <c r="C45" s="452">
        <f>Stigninger!C29</f>
        <v>0.4</v>
      </c>
      <c r="D45" s="437"/>
      <c r="E45" s="452">
        <f>Stigninger!D29</f>
        <v>0.41</v>
      </c>
      <c r="F45" s="437"/>
      <c r="G45" s="452">
        <f>Stigninger!E29</f>
        <v>0.41</v>
      </c>
      <c r="H45" s="158"/>
    </row>
    <row r="46" spans="1:8" ht="14.1" customHeight="1" x14ac:dyDescent="0.2">
      <c r="A46" s="158"/>
      <c r="B46" s="445" t="str">
        <f>'Nye lønninger'!B43</f>
        <v>Kl. 22.00 til kl. 06.00</v>
      </c>
      <c r="C46" s="452">
        <f>Stigninger!C30</f>
        <v>0.65</v>
      </c>
      <c r="D46" s="437"/>
      <c r="E46" s="452">
        <f>Stigninger!D30</f>
        <v>0.66</v>
      </c>
      <c r="F46" s="437"/>
      <c r="G46" s="452">
        <f>Stigninger!E30</f>
        <v>0.67</v>
      </c>
      <c r="H46" s="158"/>
    </row>
    <row r="47" spans="1:8" ht="12" customHeight="1" x14ac:dyDescent="0.2">
      <c r="A47" s="158"/>
      <c r="B47" s="512" t="str">
        <f>'Lønoversigt til hjemmesiden'!$A$44</f>
        <v>(påbegyndt inden kl. 24.00)</v>
      </c>
      <c r="C47" s="437"/>
      <c r="D47" s="437"/>
      <c r="E47" s="437"/>
      <c r="F47" s="437"/>
      <c r="G47" s="437"/>
      <c r="H47" s="158"/>
    </row>
    <row r="48" spans="1:8" ht="14.1" customHeight="1" x14ac:dyDescent="0.2">
      <c r="A48" s="158"/>
      <c r="B48" s="445" t="str">
        <f>'Nye lønninger'!B45</f>
        <v>Kl. 24.00 til kl. 06.00</v>
      </c>
      <c r="C48" s="452">
        <f>Stigninger!C32</f>
        <v>0.79</v>
      </c>
      <c r="D48" s="437"/>
      <c r="E48" s="452">
        <f>Stigninger!D32</f>
        <v>0.8</v>
      </c>
      <c r="F48" s="437"/>
      <c r="G48" s="452">
        <f>Stigninger!E32</f>
        <v>0.82</v>
      </c>
      <c r="H48" s="158"/>
    </row>
    <row r="49" spans="1:8" ht="12" customHeight="1" x14ac:dyDescent="0.2">
      <c r="A49" s="158"/>
      <c r="B49" s="513" t="str">
        <f>'Lønoversigt til hjemmesiden'!$A$46</f>
        <v>(påbegyndt efter kl. 24.00)</v>
      </c>
      <c r="C49" s="437"/>
      <c r="D49" s="437"/>
      <c r="E49" s="437"/>
      <c r="F49" s="437"/>
      <c r="G49" s="437"/>
      <c r="H49" s="158"/>
    </row>
    <row r="50" spans="1:8" ht="14.1" customHeight="1" x14ac:dyDescent="0.2">
      <c r="A50" s="158"/>
      <c r="B50" s="157"/>
      <c r="C50" s="455"/>
      <c r="D50" s="437"/>
      <c r="E50" s="455"/>
      <c r="F50" s="437"/>
      <c r="G50" s="455"/>
      <c r="H50" s="158"/>
    </row>
    <row r="51" spans="1:8" ht="14.1" customHeight="1" x14ac:dyDescent="0.25">
      <c r="A51" s="158"/>
      <c r="B51" s="153" t="str">
        <f>'Nye lønninger'!B49</f>
        <v>Varslingstilllæg</v>
      </c>
      <c r="C51" s="452">
        <f>Stigninger!C35</f>
        <v>0</v>
      </c>
      <c r="D51" s="437"/>
      <c r="E51" s="452">
        <f>Stigninger!D35</f>
        <v>0</v>
      </c>
      <c r="F51" s="437"/>
      <c r="G51" s="452">
        <f>Stigninger!E35</f>
        <v>0</v>
      </c>
      <c r="H51" s="158"/>
    </row>
    <row r="52" spans="1:8" ht="14.1" customHeight="1" x14ac:dyDescent="0.25">
      <c r="A52" s="158"/>
      <c r="B52" s="153" t="str">
        <f>'Nye lønninger'!B50</f>
        <v>Smudstillæg</v>
      </c>
      <c r="C52" s="457">
        <f>Stigninger!C36</f>
        <v>0.09</v>
      </c>
      <c r="D52" s="437"/>
      <c r="E52" s="457">
        <f>Stigninger!D36</f>
        <v>0.09</v>
      </c>
      <c r="F52" s="437"/>
      <c r="G52" s="457">
        <f>Stigninger!E36</f>
        <v>0.08</v>
      </c>
      <c r="H52" s="158"/>
    </row>
    <row r="53" spans="1:8" ht="14.1" customHeight="1" x14ac:dyDescent="0.25">
      <c r="A53" s="158"/>
      <c r="B53" s="153"/>
      <c r="C53" s="458"/>
      <c r="D53" s="459"/>
      <c r="E53" s="458"/>
      <c r="F53" s="459"/>
      <c r="G53" s="458"/>
      <c r="H53" s="158"/>
    </row>
    <row r="54" spans="1:8" ht="14.1" customHeight="1" x14ac:dyDescent="0.25">
      <c r="A54" s="158"/>
      <c r="B54" s="153" t="str">
        <f>'Lønoversigt til hjemmesiden'!A51</f>
        <v>Fratrædelsesgodtgørelse</v>
      </c>
      <c r="C54" s="460"/>
      <c r="D54" s="459"/>
      <c r="E54" s="458"/>
      <c r="F54" s="459"/>
      <c r="G54" s="458"/>
      <c r="H54" s="158"/>
    </row>
    <row r="55" spans="1:8" ht="14.1" customHeight="1" x14ac:dyDescent="0.2">
      <c r="A55" s="158"/>
      <c r="B55" s="445" t="str">
        <f>'Nye lønninger'!B53</f>
        <v>Efter 3 års ansættelse</v>
      </c>
      <c r="C55" s="452">
        <f>Stigninger!C39</f>
        <v>0</v>
      </c>
      <c r="D55" s="455"/>
      <c r="E55" s="452">
        <f>Stigninger!D39</f>
        <v>0</v>
      </c>
      <c r="F55" s="455"/>
      <c r="G55" s="452">
        <f>Stigninger!E39</f>
        <v>0</v>
      </c>
      <c r="H55" s="158"/>
    </row>
    <row r="56" spans="1:8" ht="14.1" customHeight="1" x14ac:dyDescent="0.2">
      <c r="A56" s="158"/>
      <c r="B56" s="445" t="str">
        <f>'Nye lønninger'!B54</f>
        <v>Efter 6 års ansættelse</v>
      </c>
      <c r="C56" s="452">
        <f>Stigninger!C40</f>
        <v>0</v>
      </c>
      <c r="D56" s="455"/>
      <c r="E56" s="452">
        <f>Stigninger!D40</f>
        <v>0</v>
      </c>
      <c r="F56" s="455"/>
      <c r="G56" s="452">
        <f>Stigninger!E40</f>
        <v>0</v>
      </c>
      <c r="H56" s="158"/>
    </row>
    <row r="57" spans="1:8" ht="14.1" customHeight="1" x14ac:dyDescent="0.2">
      <c r="A57" s="158"/>
      <c r="B57" s="445" t="str">
        <f>'Nye lønninger'!B55</f>
        <v>Efter 8 års ansættelse</v>
      </c>
      <c r="C57" s="452">
        <f>Stigninger!C41</f>
        <v>0</v>
      </c>
      <c r="D57" s="455"/>
      <c r="E57" s="452">
        <f>Stigninger!D41</f>
        <v>0</v>
      </c>
      <c r="F57" s="455"/>
      <c r="G57" s="452">
        <f>Stigninger!E41</f>
        <v>0</v>
      </c>
      <c r="H57" s="158"/>
    </row>
    <row r="58" spans="1:8" ht="14.1" customHeight="1" x14ac:dyDescent="0.2">
      <c r="A58" s="158"/>
      <c r="B58" s="157"/>
      <c r="C58" s="436"/>
      <c r="D58" s="437"/>
      <c r="E58" s="436"/>
      <c r="F58" s="437"/>
      <c r="G58" s="436"/>
      <c r="H58" s="158"/>
    </row>
    <row r="59" spans="1:8" ht="14.1" customHeight="1" x14ac:dyDescent="0.25">
      <c r="A59" s="158"/>
      <c r="B59" s="153" t="str">
        <f>'Nye lønninger'!B57</f>
        <v>Frihedskonto</v>
      </c>
      <c r="C59" s="462">
        <f>Stigninger!C43</f>
        <v>0</v>
      </c>
      <c r="D59" s="437"/>
      <c r="E59" s="462">
        <f>Stigninger!D43</f>
        <v>0</v>
      </c>
      <c r="F59" s="437"/>
      <c r="G59" s="462">
        <f>Stigninger!E43</f>
        <v>0</v>
      </c>
      <c r="H59" s="158"/>
    </row>
    <row r="60" spans="1:8" ht="12" customHeight="1" x14ac:dyDescent="0.2">
      <c r="A60" s="158"/>
      <c r="B60" s="448" t="str">
        <f>'Nye lønninger'!B58</f>
        <v>Beregnes af ferieberettiget løn</v>
      </c>
      <c r="C60" s="463"/>
      <c r="D60" s="437"/>
      <c r="E60" s="436"/>
      <c r="F60" s="437"/>
      <c r="G60" s="436"/>
      <c r="H60" s="158"/>
    </row>
    <row r="61" spans="1:8" ht="14.1" customHeight="1" x14ac:dyDescent="0.2">
      <c r="A61" s="158"/>
      <c r="B61" s="157"/>
      <c r="C61" s="463"/>
      <c r="D61" s="437"/>
      <c r="E61" s="436"/>
      <c r="F61" s="437"/>
      <c r="G61" s="436"/>
      <c r="H61" s="158"/>
    </row>
    <row r="62" spans="1:8" ht="14.1" customHeight="1" x14ac:dyDescent="0.25">
      <c r="A62" s="158"/>
      <c r="B62" s="153" t="str">
        <f>'Nye lønninger'!B60</f>
        <v>Særlig opsparing</v>
      </c>
      <c r="C62" s="464">
        <f>Stigninger!C44</f>
        <v>0.01</v>
      </c>
      <c r="D62" s="465"/>
      <c r="E62" s="464">
        <f>Stigninger!D44</f>
        <v>0.01</v>
      </c>
      <c r="F62" s="465"/>
      <c r="G62" s="464">
        <f>Stigninger!E44</f>
        <v>0.01</v>
      </c>
      <c r="H62" s="158"/>
    </row>
    <row r="63" spans="1:8" ht="12" customHeight="1" x14ac:dyDescent="0.2">
      <c r="A63" s="158"/>
      <c r="B63" s="448" t="str">
        <f>'Nye lønninger'!B61</f>
        <v>Beregnes af ferieberettiget løn</v>
      </c>
      <c r="C63" s="437"/>
      <c r="D63" s="437"/>
      <c r="E63" s="437"/>
      <c r="F63" s="437"/>
      <c r="G63" s="437"/>
      <c r="H63" s="158"/>
    </row>
    <row r="64" spans="1:8" ht="14.1" customHeight="1" x14ac:dyDescent="0.2">
      <c r="A64" s="158"/>
      <c r="B64" s="160"/>
      <c r="C64" s="437"/>
      <c r="D64" s="437"/>
      <c r="E64" s="437"/>
      <c r="F64" s="437"/>
      <c r="G64" s="437"/>
      <c r="H64" s="158"/>
    </row>
    <row r="65" spans="1:8" ht="14.1" customHeight="1" x14ac:dyDescent="0.25">
      <c r="A65" s="158"/>
      <c r="B65" s="153" t="str">
        <f>Resultat!A47</f>
        <v>Pension</v>
      </c>
      <c r="C65" s="466"/>
      <c r="D65" s="459"/>
      <c r="E65" s="466"/>
      <c r="F65" s="437"/>
      <c r="G65" s="466"/>
      <c r="H65" s="158"/>
    </row>
    <row r="66" spans="1:8" ht="14.1" customHeight="1" x14ac:dyDescent="0.2">
      <c r="A66" s="158"/>
      <c r="B66" s="445" t="str">
        <f>Resultat!A49</f>
        <v>Arbejdsgivers pensionsbidrag</v>
      </c>
      <c r="C66" s="467">
        <f>Stigninger!C47</f>
        <v>0</v>
      </c>
      <c r="D66" s="437"/>
      <c r="E66" s="467">
        <f>Stigninger!D47</f>
        <v>0</v>
      </c>
      <c r="F66" s="437"/>
      <c r="G66" s="467">
        <f>Stigninger!E47</f>
        <v>0</v>
      </c>
      <c r="H66" s="158"/>
    </row>
    <row r="67" spans="1:8" ht="14.1" customHeight="1" x14ac:dyDescent="0.2">
      <c r="A67" s="158"/>
      <c r="B67" s="445" t="str">
        <f>Resultat!A50</f>
        <v>Lønmodtagers pensionsbidrag</v>
      </c>
      <c r="C67" s="467">
        <f>Stigninger!C48</f>
        <v>0</v>
      </c>
      <c r="D67" s="437"/>
      <c r="E67" s="467">
        <f>Stigninger!D48</f>
        <v>0</v>
      </c>
      <c r="F67" s="437"/>
      <c r="G67" s="467">
        <f>Stigninger!F48</f>
        <v>0</v>
      </c>
      <c r="H67" s="158"/>
    </row>
    <row r="68" spans="1:8" ht="15" customHeight="1" thickBot="1" x14ac:dyDescent="0.25">
      <c r="A68" s="158"/>
      <c r="B68" s="157" t="str">
        <f>Resultat!A51</f>
        <v>Pensionsbidrag i alt</v>
      </c>
      <c r="C68" s="468">
        <f>SUM(C66:C67)</f>
        <v>0</v>
      </c>
      <c r="D68" s="469"/>
      <c r="E68" s="468">
        <f>SUM(E66:E67)</f>
        <v>0</v>
      </c>
      <c r="F68" s="469"/>
      <c r="G68" s="468">
        <f>SUM(G66:G67)</f>
        <v>0</v>
      </c>
      <c r="H68" s="158"/>
    </row>
    <row r="69" spans="1:8" ht="14.1" customHeight="1" thickTop="1" x14ac:dyDescent="0.2">
      <c r="A69" s="158"/>
      <c r="B69" s="379"/>
      <c r="C69" s="158"/>
      <c r="D69" s="158"/>
      <c r="E69" s="158"/>
      <c r="F69" s="158"/>
      <c r="G69" s="158"/>
      <c r="H69" s="158"/>
    </row>
    <row r="70" spans="1:8" ht="14.1" customHeight="1" x14ac:dyDescent="0.2">
      <c r="A70" s="149"/>
      <c r="B70" s="150"/>
      <c r="C70" s="149"/>
      <c r="D70" s="149"/>
      <c r="E70" s="149"/>
      <c r="F70" s="149"/>
      <c r="G70" s="149"/>
    </row>
    <row r="71" spans="1:8" ht="14.1" customHeight="1" x14ac:dyDescent="0.2">
      <c r="A71" s="149"/>
      <c r="B71" s="150"/>
      <c r="C71" s="149"/>
      <c r="D71" s="149"/>
      <c r="E71" s="149"/>
      <c r="F71" s="149"/>
      <c r="G71" s="149"/>
    </row>
    <row r="72" spans="1:8" x14ac:dyDescent="0.2">
      <c r="A72" s="149"/>
      <c r="B72" s="150"/>
      <c r="C72" s="149"/>
      <c r="D72" s="149"/>
      <c r="E72" s="149"/>
      <c r="F72" s="149"/>
      <c r="G72" s="149"/>
    </row>
    <row r="73" spans="1:8" x14ac:dyDescent="0.2">
      <c r="A73" s="149"/>
      <c r="B73" s="150"/>
      <c r="C73" s="149"/>
      <c r="D73" s="149"/>
      <c r="E73" s="149"/>
      <c r="F73" s="149"/>
      <c r="G73" s="149"/>
    </row>
    <row r="74" spans="1:8" x14ac:dyDescent="0.2">
      <c r="A74" s="149"/>
      <c r="B74" s="150"/>
      <c r="C74" s="149"/>
      <c r="D74" s="149"/>
      <c r="E74" s="149"/>
      <c r="F74" s="149"/>
      <c r="G74" s="149"/>
    </row>
    <row r="75" spans="1:8" x14ac:dyDescent="0.2">
      <c r="A75" s="149"/>
      <c r="B75" s="150"/>
      <c r="C75" s="149"/>
      <c r="D75" s="149"/>
      <c r="E75" s="149"/>
      <c r="F75" s="149"/>
      <c r="G75" s="149"/>
    </row>
    <row r="76" spans="1:8" x14ac:dyDescent="0.2">
      <c r="A76" s="149"/>
      <c r="B76" s="150"/>
      <c r="C76" s="149"/>
      <c r="D76" s="149"/>
      <c r="E76" s="149"/>
      <c r="F76" s="149"/>
      <c r="G76" s="149"/>
    </row>
  </sheetData>
  <sheetProtection algorithmName="SHA-512" hashValue="uUXhiwhGaUzNFMLJvqOUj6blwTKqHgBZR8az/JWE9GGvrNmbW30rSse8yfdP9zGMFULBbafqfBU+gfXdHwm8tw==" saltValue="bI4qLy06U+oW3GNDx2E8zQ==" spinCount="100000" sheet="1" objects="1" scenarios="1"/>
  <mergeCells count="5">
    <mergeCell ref="A5:H5"/>
    <mergeCell ref="A2:H2"/>
    <mergeCell ref="A3:H3"/>
    <mergeCell ref="A4:H4"/>
    <mergeCell ref="A1:H1"/>
  </mergeCells>
  <phoneticPr fontId="0" type="noConversion"/>
  <dataValidations disablePrompts="1" count="2">
    <dataValidation type="list" allowBlank="1" showInputMessage="1" showErrorMessage="1" errorTitle="Fejl" error="Der skal vælges fra liste" sqref="B7" xr:uid="{00000000-0002-0000-0700-000000000000}">
      <formula1>$L$8</formula1>
    </dataValidation>
    <dataValidation type="list" allowBlank="1" showInputMessage="1" showErrorMessage="1" sqref="B8" xr:uid="{00000000-0002-0000-0700-000001000000}">
      <formula1>$L$11:$L$12</formula1>
    </dataValidation>
  </dataValidations>
  <printOptions horizontalCentered="1"/>
  <pageMargins left="0.78740157480314965" right="0.78740157480314965" top="0.98425196850393704" bottom="0.59055118110236227" header="0.59055118110236227" footer="0.39370078740157483"/>
  <pageSetup paperSize="9" orientation="portrait" draft="1" r:id="rId1"/>
  <headerFooter alignWithMargins="0">
    <oddFooter>&amp;L&amp;9&amp;F&amp;R&amp;9&amp;D, kl. &amp;T</oddFooter>
  </headerFooter>
  <rowBreaks count="1" manualBreakCount="1">
    <brk id="43" max="16383" man="1"/>
  </rowBreaks>
  <ignoredErrors>
    <ignoredError sqref="C19:G19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76"/>
  <sheetViews>
    <sheetView showGridLines="0" showRowColHeaders="0" tabSelected="1" zoomScale="216" zoomScaleNormal="216" zoomScaleSheetLayoutView="150" workbookViewId="0">
      <selection activeCell="A4" sqref="A4:H4"/>
    </sheetView>
  </sheetViews>
  <sheetFormatPr defaultRowHeight="12.75" x14ac:dyDescent="0.2"/>
  <cols>
    <col min="1" max="1" width="2.7109375" style="131" customWidth="1"/>
    <col min="2" max="2" width="42.140625" style="143" customWidth="1"/>
    <col min="3" max="3" width="11.42578125" style="131" customWidth="1"/>
    <col min="4" max="4" width="2.7109375" style="131" customWidth="1"/>
    <col min="5" max="5" width="11.42578125" style="131" customWidth="1"/>
    <col min="6" max="6" width="2.7109375" style="131" customWidth="1"/>
    <col min="7" max="7" width="11.42578125" style="131" customWidth="1"/>
    <col min="8" max="8" width="2.42578125" style="131" customWidth="1"/>
    <col min="9" max="9" width="2.7109375" style="131" customWidth="1"/>
    <col min="10" max="10" width="9.140625" style="131" hidden="1" customWidth="1"/>
    <col min="11" max="11" width="2.7109375" style="131" hidden="1" customWidth="1"/>
    <col min="12" max="12" width="36.42578125" style="131" hidden="1" customWidth="1"/>
    <col min="13" max="16" width="5" style="131" hidden="1" customWidth="1"/>
    <col min="17" max="16384" width="9.140625" style="131"/>
  </cols>
  <sheetData>
    <row r="1" spans="1:21" ht="20.25" customHeight="1" x14ac:dyDescent="0.3">
      <c r="A1" s="554" t="str">
        <f>'Aftalte lønstigninger'!A1:H1</f>
        <v>Vaskerioverenskomst mellem DIO II (ADV) og 3F</v>
      </c>
      <c r="B1" s="550"/>
      <c r="C1" s="550"/>
      <c r="D1" s="550"/>
      <c r="E1" s="550"/>
      <c r="F1" s="550"/>
      <c r="G1" s="550"/>
      <c r="H1" s="550"/>
      <c r="I1" s="395"/>
      <c r="J1" s="400"/>
      <c r="K1" s="400"/>
    </row>
    <row r="2" spans="1:21" ht="20.25" customHeight="1" x14ac:dyDescent="0.3">
      <c r="A2" s="558" t="s">
        <v>48</v>
      </c>
      <c r="B2" s="559"/>
      <c r="C2" s="559"/>
      <c r="D2" s="559"/>
      <c r="E2" s="559"/>
      <c r="F2" s="559"/>
      <c r="G2" s="560"/>
      <c r="H2" s="560"/>
    </row>
    <row r="3" spans="1:21" ht="20.25" customHeight="1" x14ac:dyDescent="0.3">
      <c r="A3" s="558" t="str">
        <f>'Nye lønninger'!A3:H3</f>
        <v>1. marts 2020 til 28. februar 2023</v>
      </c>
      <c r="B3" s="559"/>
      <c r="C3" s="559"/>
      <c r="D3" s="559"/>
      <c r="E3" s="559"/>
      <c r="F3" s="559"/>
      <c r="G3" s="560"/>
      <c r="H3" s="560"/>
    </row>
    <row r="4" spans="1:21" ht="15" x14ac:dyDescent="0.25">
      <c r="A4" s="552" t="str">
        <f>'Nye lønninger'!A4:H4</f>
        <v>Gældende fra begyndelsen af den lønningsuge hvori 1. marts indgår.</v>
      </c>
      <c r="B4" s="559"/>
      <c r="C4" s="559"/>
      <c r="D4" s="559"/>
      <c r="E4" s="559"/>
      <c r="F4" s="559"/>
      <c r="G4" s="560"/>
      <c r="H4" s="560"/>
    </row>
    <row r="5" spans="1:21" ht="14.1" customHeight="1" x14ac:dyDescent="0.2">
      <c r="A5" s="556"/>
      <c r="B5" s="557"/>
      <c r="C5" s="557"/>
      <c r="D5" s="557"/>
      <c r="E5" s="557"/>
      <c r="F5" s="557"/>
      <c r="G5" s="557"/>
      <c r="H5" s="557"/>
    </row>
    <row r="6" spans="1:21" ht="15" x14ac:dyDescent="0.25">
      <c r="A6" s="158"/>
      <c r="B6" s="161" t="s">
        <v>18</v>
      </c>
      <c r="C6" s="159"/>
      <c r="D6" s="158"/>
      <c r="E6" s="158"/>
      <c r="F6" s="158"/>
      <c r="G6" s="158"/>
      <c r="H6" s="158"/>
      <c r="S6" s="137"/>
      <c r="T6" s="137"/>
      <c r="U6" s="137"/>
    </row>
    <row r="7" spans="1:21" ht="15" x14ac:dyDescent="0.25">
      <c r="A7" s="158"/>
      <c r="B7" s="162" t="s">
        <v>49</v>
      </c>
      <c r="C7" s="370" t="str">
        <f>L7</f>
        <v>Overenskomst/arbejdsfunktion</v>
      </c>
      <c r="D7" s="158"/>
      <c r="E7" s="158"/>
      <c r="F7" s="158"/>
      <c r="G7" s="158"/>
      <c r="H7" s="158"/>
      <c r="L7" s="132" t="str">
        <f>'Aftalte lønstigninger'!L7</f>
        <v>Overenskomst/arbejdsfunktion</v>
      </c>
      <c r="M7" s="498"/>
      <c r="S7" s="137"/>
      <c r="T7" s="137"/>
      <c r="U7" s="137"/>
    </row>
    <row r="8" spans="1:21" ht="15" x14ac:dyDescent="0.25">
      <c r="A8" s="158"/>
      <c r="B8" s="163" t="s">
        <v>87</v>
      </c>
      <c r="C8" s="370" t="str">
        <f>L10</f>
        <v>Anciennitet</v>
      </c>
      <c r="D8" s="158"/>
      <c r="E8" s="158"/>
      <c r="F8" s="158"/>
      <c r="G8" s="158"/>
      <c r="H8" s="158"/>
      <c r="L8" s="164" t="str">
        <f>'Aftalte lønstigninger'!L8</f>
        <v>Vaskeriarbejdere</v>
      </c>
      <c r="M8" s="133"/>
    </row>
    <row r="9" spans="1:21" ht="14.1" customHeight="1" x14ac:dyDescent="0.2">
      <c r="A9" s="158"/>
      <c r="B9" s="160"/>
      <c r="C9" s="158"/>
      <c r="D9" s="158"/>
      <c r="E9" s="158"/>
      <c r="F9" s="158"/>
      <c r="G9" s="158"/>
      <c r="H9" s="158"/>
      <c r="L9" s="133"/>
      <c r="M9" s="133"/>
    </row>
    <row r="10" spans="1:21" ht="14.1" customHeight="1" x14ac:dyDescent="0.25">
      <c r="A10" s="158"/>
      <c r="B10" s="153"/>
      <c r="C10" s="422" t="str">
        <f>'Nye lønninger'!$C$6</f>
        <v>1. mar. 2020</v>
      </c>
      <c r="D10" s="152"/>
      <c r="E10" s="422" t="str">
        <f>'Nye lønninger'!$E$6</f>
        <v>1. mar. 2021</v>
      </c>
      <c r="F10" s="152"/>
      <c r="G10" s="422" t="str">
        <f>'Nye lønninger'!$G$6</f>
        <v>1. mar. 2022</v>
      </c>
      <c r="H10" s="158"/>
      <c r="J10" s="490" t="str">
        <f>'Nye lønninger'!J6</f>
        <v>29.2.2020</v>
      </c>
      <c r="L10" s="132" t="str">
        <f>'Aftalte lønstigninger'!L10</f>
        <v>Anciennitet</v>
      </c>
      <c r="M10" s="503">
        <f>'Aftalte lønstigninger'!M10</f>
        <v>2019</v>
      </c>
      <c r="N10" s="504">
        <f>'Aftalte lønstigninger'!N10</f>
        <v>2020</v>
      </c>
      <c r="O10" s="504">
        <f>'Aftalte lønstigninger'!O10</f>
        <v>2021</v>
      </c>
      <c r="P10" s="505">
        <f>'Aftalte lønstigninger'!P10</f>
        <v>2022</v>
      </c>
    </row>
    <row r="11" spans="1:21" ht="14.1" customHeight="1" x14ac:dyDescent="0.2">
      <c r="A11" s="158"/>
      <c r="B11" s="445" t="str">
        <f>'Nye lønninger'!B7</f>
        <v>Timeløn for voksne</v>
      </c>
      <c r="C11" s="452">
        <f>Resultat!C3</f>
        <v>130.94999999999999</v>
      </c>
      <c r="D11" s="437"/>
      <c r="E11" s="452">
        <f>Resultat!D3</f>
        <v>134.14999999999998</v>
      </c>
      <c r="F11" s="437"/>
      <c r="G11" s="452">
        <f>Resultat!E3</f>
        <v>137.29999999999998</v>
      </c>
      <c r="H11" s="158"/>
      <c r="J11" s="518">
        <f>Resultat!B3</f>
        <v>127.74999999999999</v>
      </c>
      <c r="L11" s="138" t="str">
        <f>'Aftalte lønstigninger'!L11</f>
        <v>0. Under 12 måneders ansættelse</v>
      </c>
      <c r="M11" s="500">
        <v>0</v>
      </c>
      <c r="N11" s="501">
        <v>0</v>
      </c>
      <c r="O11" s="501">
        <v>0</v>
      </c>
      <c r="P11" s="502">
        <v>0</v>
      </c>
    </row>
    <row r="12" spans="1:21" ht="14.1" customHeight="1" x14ac:dyDescent="0.2">
      <c r="A12" s="158"/>
      <c r="B12" s="445" t="str">
        <f>'Aftalte lønstigninger'!B12</f>
        <v>Vaskeritillæg</v>
      </c>
      <c r="C12" s="452">
        <f>Resultat!C4</f>
        <v>4.9499999999999993</v>
      </c>
      <c r="D12" s="437"/>
      <c r="E12" s="452">
        <f>Resultat!D4</f>
        <v>4.9499999999999993</v>
      </c>
      <c r="F12" s="437"/>
      <c r="G12" s="452">
        <f>Resultat!E4</f>
        <v>4.9499999999999993</v>
      </c>
      <c r="H12" s="158"/>
      <c r="J12" s="516">
        <f>Resultat!B4</f>
        <v>4.9499999999999993</v>
      </c>
      <c r="L12" s="139" t="str">
        <f>'Aftalte lønstigninger'!L12</f>
        <v>1. Efter 12 måneders ansættelse</v>
      </c>
      <c r="M12" s="140">
        <f>Resultat!B6</f>
        <v>9.1999999999999993</v>
      </c>
      <c r="N12" s="141">
        <f>Resultat!C6</f>
        <v>9.1999999999999993</v>
      </c>
      <c r="O12" s="141">
        <f>Resultat!D6</f>
        <v>9.1999999999999993</v>
      </c>
      <c r="P12" s="142">
        <f>Resultat!E6</f>
        <v>9.1999999999999993</v>
      </c>
    </row>
    <row r="13" spans="1:21" ht="14.1" customHeight="1" x14ac:dyDescent="0.2">
      <c r="A13" s="158"/>
      <c r="B13" s="445" t="str">
        <f>'Aftalte lønstigninger'!B13</f>
        <v>Anciennitetstillæg efter 12 måneder</v>
      </c>
      <c r="C13" s="452">
        <f>VLOOKUP($B$8,$L$11:$P$12,3)</f>
        <v>9.1999999999999993</v>
      </c>
      <c r="D13" s="437"/>
      <c r="E13" s="452">
        <f>VLOOKUP($B$8,$L$11:$P$12,4)</f>
        <v>9.1999999999999993</v>
      </c>
      <c r="F13" s="437"/>
      <c r="G13" s="452">
        <f>VLOOKUP($B$8,$L$11:$P$12,5)</f>
        <v>9.1999999999999993</v>
      </c>
      <c r="H13" s="158"/>
      <c r="J13" s="519">
        <f>VLOOKUP($B$8,$L$11:$P$12,2)</f>
        <v>9.1999999999999993</v>
      </c>
    </row>
    <row r="14" spans="1:21" ht="14.1" customHeight="1" x14ac:dyDescent="0.2">
      <c r="A14" s="158"/>
      <c r="B14" s="157" t="str">
        <f>'Lønoversigt til hjemmesiden'!A9</f>
        <v>Timeløn i alt</v>
      </c>
      <c r="C14" s="497">
        <f>SUM(C11:C13)</f>
        <v>145.09999999999997</v>
      </c>
      <c r="D14" s="469"/>
      <c r="E14" s="497">
        <f>SUM(E11:E13)</f>
        <v>148.29999999999995</v>
      </c>
      <c r="F14" s="469"/>
      <c r="G14" s="497">
        <f>SUM(G11:G13)</f>
        <v>151.44999999999996</v>
      </c>
      <c r="H14" s="158"/>
      <c r="J14" s="518">
        <f>SUM(J11:J13)</f>
        <v>141.89999999999998</v>
      </c>
    </row>
    <row r="15" spans="1:21" ht="14.1" customHeight="1" x14ac:dyDescent="0.2">
      <c r="A15" s="485"/>
      <c r="B15" s="479" t="str">
        <f>'Lønoversigt til hjemmesiden'!A12</f>
        <v>Særlig opsparing i beløb</v>
      </c>
      <c r="C15" s="496">
        <f>C14*C62</f>
        <v>5.8039999999999985</v>
      </c>
      <c r="D15" s="430"/>
      <c r="E15" s="496">
        <f>E14*E62</f>
        <v>7.4149999999999983</v>
      </c>
      <c r="F15" s="430"/>
      <c r="G15" s="496">
        <f>G14*G62</f>
        <v>9.086999999999998</v>
      </c>
      <c r="H15" s="485"/>
      <c r="J15" s="519">
        <f>J14*Resultat!B46</f>
        <v>4.2569999999999988</v>
      </c>
    </row>
    <row r="16" spans="1:21" ht="15" customHeight="1" thickBot="1" x14ac:dyDescent="0.25">
      <c r="A16" s="485"/>
      <c r="B16" s="482" t="str">
        <f>'Lønoversigt til hjemmesiden'!A13</f>
        <v>I alt inkl. særlig opsparing</v>
      </c>
      <c r="C16" s="515">
        <f>SUM(C14:C15)</f>
        <v>150.90399999999997</v>
      </c>
      <c r="D16" s="482"/>
      <c r="E16" s="515">
        <f>SUM(E14:E15)</f>
        <v>155.71499999999995</v>
      </c>
      <c r="F16" s="482"/>
      <c r="G16" s="495">
        <f>SUM(G14:G15)</f>
        <v>160.53699999999995</v>
      </c>
      <c r="H16" s="485"/>
      <c r="J16" s="518">
        <f>SUM(J14:J15)</f>
        <v>146.15699999999998</v>
      </c>
    </row>
    <row r="17" spans="1:13" ht="15" customHeight="1" thickTop="1" thickBot="1" x14ac:dyDescent="0.25">
      <c r="A17" s="478"/>
      <c r="B17" s="482" t="str">
        <f>'Aftalte lønstigninger'!B17</f>
        <v>Samlet stigning pr. time 2020-2023</v>
      </c>
      <c r="C17" s="482"/>
      <c r="D17" s="482"/>
      <c r="E17" s="482"/>
      <c r="F17" s="484"/>
      <c r="G17" s="517">
        <f>G16-J16</f>
        <v>14.379999999999967</v>
      </c>
      <c r="H17" s="478"/>
      <c r="I17" s="1"/>
      <c r="J17" s="516"/>
      <c r="K17"/>
      <c r="L17"/>
      <c r="M17"/>
    </row>
    <row r="18" spans="1:13" ht="14.1" customHeight="1" thickTop="1" x14ac:dyDescent="0.2">
      <c r="A18" s="478"/>
      <c r="B18" s="482"/>
      <c r="C18" s="482"/>
      <c r="D18" s="482"/>
      <c r="E18" s="482"/>
      <c r="F18" s="482"/>
      <c r="G18" s="482"/>
      <c r="H18" s="478"/>
      <c r="I18" s="1"/>
      <c r="J18" s="516"/>
      <c r="K18"/>
      <c r="L18"/>
      <c r="M18"/>
    </row>
    <row r="19" spans="1:13" ht="14.1" customHeight="1" x14ac:dyDescent="0.2">
      <c r="A19" s="485"/>
      <c r="B19" s="479" t="str">
        <f>'Lønoversigt til hjemmesiden'!A16</f>
        <v>Arbejdsgivers pensionsbidrag</v>
      </c>
      <c r="C19" s="486">
        <f>C16*C66</f>
        <v>12.072319999999998</v>
      </c>
      <c r="D19" s="479"/>
      <c r="E19" s="486">
        <f>E16*E66</f>
        <v>12.457199999999997</v>
      </c>
      <c r="F19" s="479"/>
      <c r="G19" s="486">
        <f>G16*G66</f>
        <v>12.842959999999996</v>
      </c>
      <c r="H19" s="485"/>
      <c r="J19" s="519">
        <f>J16*Resultat!B49</f>
        <v>11.692559999999999</v>
      </c>
    </row>
    <row r="20" spans="1:13" ht="15" customHeight="1" thickBot="1" x14ac:dyDescent="0.25">
      <c r="A20" s="485"/>
      <c r="B20" s="482" t="str">
        <f>'Lønoversigt til hjemmesiden'!A17</f>
        <v>I alt inkl. særlig opsparing og pension</v>
      </c>
      <c r="C20" s="487">
        <f>SUM(C16:C19)</f>
        <v>162.97631999999996</v>
      </c>
      <c r="D20" s="479"/>
      <c r="E20" s="487">
        <f>SUM(E16:E19)</f>
        <v>168.17219999999995</v>
      </c>
      <c r="F20" s="484"/>
      <c r="G20" s="487">
        <f>SUM(G16:G19)-G17</f>
        <v>173.37995999999995</v>
      </c>
      <c r="H20" s="485"/>
      <c r="J20" s="493">
        <f>SUM(J16:J19)</f>
        <v>157.84955999999997</v>
      </c>
    </row>
    <row r="21" spans="1:13" ht="15" customHeight="1" thickTop="1" thickBot="1" x14ac:dyDescent="0.25">
      <c r="A21" s="485"/>
      <c r="B21" s="482" t="str">
        <f>'Lønoversigt til hjemmesiden'!A18</f>
        <v>Samlet stigning pr. time 2020-2023</v>
      </c>
      <c r="C21" s="488"/>
      <c r="D21" s="479"/>
      <c r="E21" s="488"/>
      <c r="F21" s="484"/>
      <c r="G21" s="489">
        <f>G20-J20</f>
        <v>15.530399999999986</v>
      </c>
      <c r="H21" s="485"/>
    </row>
    <row r="22" spans="1:13" ht="14.1" customHeight="1" thickTop="1" x14ac:dyDescent="0.2">
      <c r="A22" s="158"/>
      <c r="B22" s="157"/>
      <c r="C22" s="461"/>
      <c r="D22" s="459"/>
      <c r="E22" s="461"/>
      <c r="F22" s="437"/>
      <c r="G22" s="461"/>
      <c r="H22" s="158"/>
    </row>
    <row r="23" spans="1:13" ht="14.1" customHeight="1" x14ac:dyDescent="0.25">
      <c r="A23" s="158"/>
      <c r="B23" s="153" t="str">
        <f>'Aftalte lønstigninger'!B23</f>
        <v>Garantibetaling for voksne</v>
      </c>
      <c r="C23" s="452">
        <f>Resultat!C9</f>
        <v>135.89999999999998</v>
      </c>
      <c r="D23" s="437"/>
      <c r="E23" s="452">
        <f>Resultat!D9</f>
        <v>139.09999999999997</v>
      </c>
      <c r="F23" s="437"/>
      <c r="G23" s="452">
        <f>Resultat!E9</f>
        <v>142.24999999999997</v>
      </c>
      <c r="H23" s="158"/>
    </row>
    <row r="24" spans="1:13" ht="14.1" customHeight="1" x14ac:dyDescent="0.2">
      <c r="A24" s="158"/>
      <c r="B24" s="157"/>
      <c r="C24" s="461"/>
      <c r="D24" s="459"/>
      <c r="E24" s="461"/>
      <c r="F24" s="437"/>
      <c r="G24" s="461"/>
      <c r="H24" s="158"/>
      <c r="L24" s="133"/>
      <c r="M24" s="133"/>
    </row>
    <row r="25" spans="1:13" ht="14.1" customHeight="1" x14ac:dyDescent="0.25">
      <c r="A25" s="158"/>
      <c r="B25" s="153" t="str">
        <f>'Nye lønninger'!B22</f>
        <v>Timeløn for unge under 18 år</v>
      </c>
      <c r="C25" s="452">
        <f>Resultat!C11</f>
        <v>104.63999999999999</v>
      </c>
      <c r="D25" s="437"/>
      <c r="E25" s="452">
        <f>Resultat!D11</f>
        <v>107.83999999999999</v>
      </c>
      <c r="F25" s="437"/>
      <c r="G25" s="452">
        <f>Resultat!E11</f>
        <v>110.99</v>
      </c>
      <c r="H25" s="158"/>
    </row>
    <row r="26" spans="1:13" ht="14.1" customHeight="1" x14ac:dyDescent="0.2">
      <c r="A26" s="158"/>
      <c r="B26" s="157"/>
      <c r="C26" s="455"/>
      <c r="D26" s="437"/>
      <c r="E26" s="455"/>
      <c r="F26" s="437"/>
      <c r="G26" s="455"/>
      <c r="H26" s="158"/>
    </row>
    <row r="27" spans="1:13" ht="14.1" customHeight="1" x14ac:dyDescent="0.25">
      <c r="A27" s="158"/>
      <c r="B27" s="153" t="str">
        <f>'Nye lønninger'!B24</f>
        <v>Kursustillæg</v>
      </c>
      <c r="C27" s="452">
        <f>Resultat!C13</f>
        <v>1</v>
      </c>
      <c r="D27" s="437"/>
      <c r="E27" s="452">
        <f>Resultat!D13</f>
        <v>1</v>
      </c>
      <c r="F27" s="437"/>
      <c r="G27" s="452">
        <f>Resultat!E13</f>
        <v>1</v>
      </c>
      <c r="H27" s="158"/>
    </row>
    <row r="28" spans="1:13" ht="14.1" customHeight="1" x14ac:dyDescent="0.25">
      <c r="A28" s="158"/>
      <c r="B28" s="153" t="str">
        <f>'Nye lønninger'!B25</f>
        <v>Mentortillæg</v>
      </c>
      <c r="C28" s="452">
        <f>Resultat!C14</f>
        <v>2</v>
      </c>
      <c r="D28" s="437"/>
      <c r="E28" s="452">
        <f>Resultat!D14</f>
        <v>2</v>
      </c>
      <c r="F28" s="437"/>
      <c r="G28" s="452">
        <f>Resultat!E14</f>
        <v>2</v>
      </c>
      <c r="H28" s="158"/>
    </row>
    <row r="29" spans="1:13" ht="14.1" customHeight="1" x14ac:dyDescent="0.2">
      <c r="A29" s="158"/>
      <c r="B29" s="160"/>
      <c r="C29" s="437"/>
      <c r="D29" s="437"/>
      <c r="E29" s="437"/>
      <c r="F29" s="437"/>
      <c r="G29" s="437"/>
      <c r="H29" s="158"/>
    </row>
    <row r="30" spans="1:13" ht="14.1" customHeight="1" x14ac:dyDescent="0.25">
      <c r="A30" s="158"/>
      <c r="B30" s="153" t="str">
        <f>'Nye lønninger'!B27</f>
        <v>Overarbejdstillæg</v>
      </c>
      <c r="C30" s="437"/>
      <c r="D30" s="437"/>
      <c r="E30" s="437"/>
      <c r="F30" s="437"/>
      <c r="G30" s="437"/>
      <c r="H30" s="158"/>
    </row>
    <row r="31" spans="1:13" ht="27.95" customHeight="1" x14ac:dyDescent="0.2">
      <c r="A31" s="158"/>
      <c r="B31" s="444" t="str">
        <f>'Nye lønninger'!B28</f>
        <v>1. time efter normalarbejdstid og ved arbejde før normal arbejdstid i tidsrummet kl. 06.00-19.00</v>
      </c>
      <c r="C31" s="424">
        <f>'Lønoversigt til hjemmesiden'!B28</f>
        <v>40.199999999999996</v>
      </c>
      <c r="D31" s="437"/>
      <c r="E31" s="424">
        <f>'Lønoversigt til hjemmesiden'!D28</f>
        <v>40.849999999999994</v>
      </c>
      <c r="F31" s="437"/>
      <c r="G31" s="424">
        <f>'Lønoversigt til hjemmesiden'!F28</f>
        <v>41.499999999999993</v>
      </c>
      <c r="H31" s="158"/>
    </row>
    <row r="32" spans="1:13" ht="14.1" customHeight="1" x14ac:dyDescent="0.2">
      <c r="A32" s="158"/>
      <c r="B32" s="446" t="str">
        <f>'Nye lønninger'!B29</f>
        <v>2. til 4. time efter normalarbejdstid</v>
      </c>
      <c r="C32" s="424">
        <f>'Lønoversigt til hjemmesiden'!B29</f>
        <v>58.31</v>
      </c>
      <c r="D32" s="437"/>
      <c r="E32" s="424">
        <f>'Lønoversigt til hjemmesiden'!D29</f>
        <v>59.24</v>
      </c>
      <c r="F32" s="437"/>
      <c r="G32" s="424">
        <f>'Lønoversigt til hjemmesiden'!F29</f>
        <v>60.190000000000005</v>
      </c>
      <c r="H32" s="158"/>
    </row>
    <row r="33" spans="1:8" ht="42" customHeight="1" x14ac:dyDescent="0.2">
      <c r="A33" s="158"/>
      <c r="B33" s="444" t="str">
        <f>'Nye lønninger'!B30</f>
        <v>5. time efter normalarbejdstid og derefter og søn- og helligdage efter kl. 12.00 og ved arbejde før normal arbejdstid i tidsrummet kl. 06.00-19.00</v>
      </c>
      <c r="C33" s="424">
        <f>'Lønoversigt til hjemmesiden'!B30</f>
        <v>109.13999999999997</v>
      </c>
      <c r="D33" s="437"/>
      <c r="E33" s="424">
        <f>'Lønoversigt til hjemmesiden'!D30</f>
        <v>110.88999999999997</v>
      </c>
      <c r="F33" s="437"/>
      <c r="G33" s="424">
        <f>'Lønoversigt til hjemmesiden'!F30</f>
        <v>112.66999999999997</v>
      </c>
      <c r="H33" s="158"/>
    </row>
    <row r="34" spans="1:8" ht="14.1" customHeight="1" x14ac:dyDescent="0.2">
      <c r="A34" s="158"/>
      <c r="B34" s="157"/>
      <c r="C34" s="455"/>
      <c r="D34" s="437"/>
      <c r="E34" s="455"/>
      <c r="F34" s="437"/>
      <c r="G34" s="455"/>
      <c r="H34" s="158"/>
    </row>
    <row r="35" spans="1:8" ht="14.1" customHeight="1" x14ac:dyDescent="0.25">
      <c r="A35" s="151"/>
      <c r="B35" s="153" t="str">
        <f>'Nye lønninger'!B32</f>
        <v>Arbejde på tilsikret hel hverdagsfridag</v>
      </c>
      <c r="C35" s="429"/>
      <c r="D35" s="431"/>
      <c r="E35" s="431"/>
      <c r="F35" s="431"/>
      <c r="G35" s="431"/>
      <c r="H35" s="375"/>
    </row>
    <row r="36" spans="1:8" ht="14.1" customHeight="1" x14ac:dyDescent="0.25">
      <c r="A36" s="151"/>
      <c r="B36" s="445" t="str">
        <f>'Nye lønninger'!B33</f>
        <v>Timer mellem kl. 06.00 til kl. 19.00</v>
      </c>
      <c r="C36" s="424">
        <f>'Lønoversigt til hjemmesiden'!B33</f>
        <v>58.31</v>
      </c>
      <c r="D36" s="437"/>
      <c r="E36" s="424">
        <f>'Lønoversigt til hjemmesiden'!D33</f>
        <v>59.24</v>
      </c>
      <c r="F36" s="437"/>
      <c r="G36" s="424">
        <f>'Lønoversigt til hjemmesiden'!F33</f>
        <v>60.190000000000005</v>
      </c>
      <c r="H36" s="375"/>
    </row>
    <row r="37" spans="1:8" ht="14.1" customHeight="1" x14ac:dyDescent="0.25">
      <c r="A37" s="151"/>
      <c r="B37" s="445" t="str">
        <f>'Nye lønninger'!B34</f>
        <v>Timer mellem kl. 19.00 til kl. 06.00</v>
      </c>
      <c r="C37" s="424">
        <f>'Lønoversigt til hjemmesiden'!B34</f>
        <v>109.13999999999997</v>
      </c>
      <c r="D37" s="437"/>
      <c r="E37" s="424">
        <f>'Lønoversigt til hjemmesiden'!D34</f>
        <v>110.88999999999997</v>
      </c>
      <c r="F37" s="437"/>
      <c r="G37" s="424">
        <f>'Lønoversigt til hjemmesiden'!F34</f>
        <v>112.66999999999997</v>
      </c>
      <c r="H37" s="375"/>
    </row>
    <row r="38" spans="1:8" ht="14.1" customHeight="1" x14ac:dyDescent="0.25">
      <c r="A38" s="151"/>
      <c r="B38" s="157"/>
      <c r="C38" s="429"/>
      <c r="D38" s="431"/>
      <c r="E38" s="429"/>
      <c r="F38" s="431"/>
      <c r="G38" s="429"/>
      <c r="H38" s="375"/>
    </row>
    <row r="39" spans="1:8" ht="14.1" customHeight="1" x14ac:dyDescent="0.25">
      <c r="A39" s="151"/>
      <c r="B39" s="153" t="str">
        <f>'Nye lønninger'!B36</f>
        <v>Arbejde på søn- og helligdage</v>
      </c>
      <c r="C39" s="429"/>
      <c r="D39" s="431"/>
      <c r="E39" s="429"/>
      <c r="F39" s="431"/>
      <c r="G39" s="429"/>
      <c r="H39" s="375"/>
    </row>
    <row r="40" spans="1:8" ht="14.1" customHeight="1" x14ac:dyDescent="0.25">
      <c r="A40" s="151"/>
      <c r="B40" s="444" t="str">
        <f>'Nye lønninger'!B37</f>
        <v>Fra daglig normal hverdagsarbejdstid til kl 12.00</v>
      </c>
      <c r="C40" s="424">
        <f>'Lønoversigt til hjemmesiden'!B37</f>
        <v>72.720000000000013</v>
      </c>
      <c r="D40" s="437"/>
      <c r="E40" s="424">
        <f>'Lønoversigt til hjemmesiden'!D37</f>
        <v>73.88000000000001</v>
      </c>
      <c r="F40" s="437"/>
      <c r="G40" s="424">
        <f>'Lønoversigt til hjemmesiden'!F37</f>
        <v>75.060000000000016</v>
      </c>
      <c r="H40" s="375"/>
    </row>
    <row r="41" spans="1:8" ht="27.95" customHeight="1" x14ac:dyDescent="0.25">
      <c r="A41" s="151"/>
      <c r="B41" s="444" t="str">
        <f>'Nye lønninger'!B38</f>
        <v>Fra kl. 12.00 til normal hverdagsarbejdstids begyndelse</v>
      </c>
      <c r="C41" s="424">
        <f>'Lønoversigt til hjemmesiden'!B38</f>
        <v>109.13999999999997</v>
      </c>
      <c r="D41" s="437"/>
      <c r="E41" s="424">
        <f>'Lønoversigt til hjemmesiden'!D38</f>
        <v>110.88999999999997</v>
      </c>
      <c r="F41" s="437"/>
      <c r="G41" s="424">
        <f>'Lønoversigt til hjemmesiden'!F38</f>
        <v>112.66999999999997</v>
      </c>
      <c r="H41" s="375"/>
    </row>
    <row r="42" spans="1:8" ht="27.95" customHeight="1" x14ac:dyDescent="0.25">
      <c r="A42" s="151"/>
      <c r="B42" s="444" t="str">
        <f>'Nye lønninger'!B39</f>
        <v>Om morgenen forud for normal hverdagsarbejdstids begyndelse</v>
      </c>
      <c r="C42" s="424">
        <f>'Lønoversigt til hjemmesiden'!B39</f>
        <v>109.13999999999997</v>
      </c>
      <c r="D42" s="437"/>
      <c r="E42" s="424">
        <f>'Lønoversigt til hjemmesiden'!D39</f>
        <v>110.88999999999997</v>
      </c>
      <c r="F42" s="437"/>
      <c r="G42" s="424">
        <f>'Lønoversigt til hjemmesiden'!F39</f>
        <v>112.66999999999997</v>
      </c>
      <c r="H42" s="375"/>
    </row>
    <row r="43" spans="1:8" ht="14.1" customHeight="1" x14ac:dyDescent="0.25">
      <c r="A43" s="151"/>
      <c r="B43" s="154"/>
      <c r="C43" s="430"/>
      <c r="D43" s="429"/>
      <c r="E43" s="429"/>
      <c r="F43" s="429"/>
      <c r="G43" s="429"/>
      <c r="H43" s="155"/>
    </row>
    <row r="44" spans="1:8" ht="14.1" customHeight="1" x14ac:dyDescent="0.25">
      <c r="A44" s="158"/>
      <c r="B44" s="153" t="str">
        <f>'Nye lønninger'!B41</f>
        <v>Forskudttidstillæg</v>
      </c>
      <c r="C44" s="437"/>
      <c r="D44" s="437"/>
      <c r="E44" s="437"/>
      <c r="F44" s="437"/>
      <c r="G44" s="437"/>
      <c r="H44" s="158"/>
    </row>
    <row r="45" spans="1:8" ht="14.1" customHeight="1" x14ac:dyDescent="0.2">
      <c r="A45" s="158"/>
      <c r="B45" s="445" t="str">
        <f>'Nye lønninger'!B42</f>
        <v>Kl. 19.00 til kl. 22.00</v>
      </c>
      <c r="C45" s="424">
        <f>'Lønoversigt til hjemmesiden'!B42</f>
        <v>25.479999999999997</v>
      </c>
      <c r="D45" s="437"/>
      <c r="E45" s="424">
        <f>'Lønoversigt til hjemmesiden'!D42</f>
        <v>25.889999999999997</v>
      </c>
      <c r="F45" s="437"/>
      <c r="G45" s="424">
        <f>'Lønoversigt til hjemmesiden'!F42</f>
        <v>26.31</v>
      </c>
      <c r="H45" s="158"/>
    </row>
    <row r="46" spans="1:8" ht="14.1" customHeight="1" x14ac:dyDescent="0.2">
      <c r="A46" s="158"/>
      <c r="B46" s="445" t="str">
        <f>'Nye lønninger'!B43</f>
        <v>Kl. 22.00 til kl. 06.00</v>
      </c>
      <c r="C46" s="424">
        <f>'Lønoversigt til hjemmesiden'!B43</f>
        <v>41.3</v>
      </c>
      <c r="D46" s="437"/>
      <c r="E46" s="424">
        <f>'Lønoversigt til hjemmesiden'!D43</f>
        <v>41.959999999999994</v>
      </c>
      <c r="F46" s="437"/>
      <c r="G46" s="424">
        <f>'Lønoversigt til hjemmesiden'!F43</f>
        <v>42.629999999999995</v>
      </c>
      <c r="H46" s="158"/>
    </row>
    <row r="47" spans="1:8" ht="12" customHeight="1" x14ac:dyDescent="0.2">
      <c r="A47" s="158"/>
      <c r="B47" s="512" t="str">
        <f>'Lønoversigt til hjemmesiden'!$A$44</f>
        <v>(påbegyndt inden kl. 24.00)</v>
      </c>
      <c r="C47" s="455"/>
      <c r="D47" s="437"/>
      <c r="E47" s="455"/>
      <c r="F47" s="437"/>
      <c r="G47" s="455"/>
      <c r="H47" s="158"/>
    </row>
    <row r="48" spans="1:8" ht="14.1" customHeight="1" x14ac:dyDescent="0.2">
      <c r="A48" s="158"/>
      <c r="B48" s="445" t="str">
        <f>'Nye lønninger'!B45</f>
        <v>Kl. 24.00 til kl. 06.00</v>
      </c>
      <c r="C48" s="424">
        <f>'Lønoversigt til hjemmesiden'!B45</f>
        <v>50.22</v>
      </c>
      <c r="D48" s="437"/>
      <c r="E48" s="424">
        <f>'Lønoversigt til hjemmesiden'!D45</f>
        <v>51.019999999999996</v>
      </c>
      <c r="F48" s="437"/>
      <c r="G48" s="424">
        <f>'Lønoversigt til hjemmesiden'!F45</f>
        <v>51.839999999999996</v>
      </c>
      <c r="H48" s="158"/>
    </row>
    <row r="49" spans="1:8" ht="12" customHeight="1" x14ac:dyDescent="0.2">
      <c r="A49" s="158"/>
      <c r="B49" s="513" t="str">
        <f>'Lønoversigt til hjemmesiden'!$A$46</f>
        <v>(påbegyndt efter kl. 24.00)</v>
      </c>
      <c r="C49" s="455"/>
      <c r="D49" s="437"/>
      <c r="E49" s="455"/>
      <c r="F49" s="437"/>
      <c r="G49" s="455"/>
      <c r="H49" s="158"/>
    </row>
    <row r="50" spans="1:8" ht="14.1" customHeight="1" x14ac:dyDescent="0.2">
      <c r="A50" s="158"/>
      <c r="B50" s="157"/>
      <c r="C50" s="455"/>
      <c r="D50" s="437"/>
      <c r="E50" s="455"/>
      <c r="F50" s="437"/>
      <c r="G50" s="455"/>
      <c r="H50" s="158"/>
    </row>
    <row r="51" spans="1:8" ht="14.1" customHeight="1" x14ac:dyDescent="0.25">
      <c r="A51" s="158"/>
      <c r="B51" s="153" t="str">
        <f>'Nye lønninger'!B49</f>
        <v>Varslingstilllæg</v>
      </c>
      <c r="C51" s="424">
        <f>'Lønoversigt til hjemmesiden'!B48</f>
        <v>71.040000000000006</v>
      </c>
      <c r="D51" s="437"/>
      <c r="E51" s="424">
        <f>'Lønoversigt til hjemmesiden'!D48</f>
        <v>71.040000000000006</v>
      </c>
      <c r="F51" s="437"/>
      <c r="G51" s="424">
        <f>'Lønoversigt til hjemmesiden'!F48</f>
        <v>71.040000000000006</v>
      </c>
      <c r="H51" s="158"/>
    </row>
    <row r="52" spans="1:8" ht="14.1" customHeight="1" x14ac:dyDescent="0.25">
      <c r="A52" s="158"/>
      <c r="B52" s="153" t="str">
        <f>'Nye lønninger'!B50</f>
        <v>Smudstillæg</v>
      </c>
      <c r="C52" s="424">
        <f>'Lønoversigt til hjemmesiden'!B49</f>
        <v>5.56</v>
      </c>
      <c r="D52" s="437"/>
      <c r="E52" s="424">
        <f>'Lønoversigt til hjemmesiden'!D49</f>
        <v>5.6599999999999993</v>
      </c>
      <c r="F52" s="437"/>
      <c r="G52" s="424">
        <f>'Lønoversigt til hjemmesiden'!F49</f>
        <v>5.7399999999999993</v>
      </c>
      <c r="H52" s="158"/>
    </row>
    <row r="53" spans="1:8" ht="14.1" customHeight="1" x14ac:dyDescent="0.2">
      <c r="A53" s="158"/>
      <c r="B53" s="157"/>
      <c r="C53" s="436"/>
      <c r="D53" s="437"/>
      <c r="E53" s="436"/>
      <c r="F53" s="437"/>
      <c r="G53" s="436"/>
      <c r="H53" s="158"/>
    </row>
    <row r="54" spans="1:8" ht="14.1" customHeight="1" x14ac:dyDescent="0.25">
      <c r="A54" s="158"/>
      <c r="B54" s="153" t="str">
        <f>'Lønoversigt til hjemmesiden'!A51</f>
        <v>Fratrædelsesgodtgørelse</v>
      </c>
      <c r="C54" s="460"/>
      <c r="D54" s="459"/>
      <c r="E54" s="458"/>
      <c r="F54" s="459"/>
      <c r="G54" s="458"/>
      <c r="H54" s="367"/>
    </row>
    <row r="55" spans="1:8" ht="14.1" customHeight="1" x14ac:dyDescent="0.2">
      <c r="A55" s="158"/>
      <c r="B55" s="445" t="str">
        <f>'Nye lønninger'!B53</f>
        <v>Efter 3 års ansættelse</v>
      </c>
      <c r="C55" s="424">
        <f>'Lønoversigt til hjemmesiden'!B52</f>
        <v>5000</v>
      </c>
      <c r="D55" s="437"/>
      <c r="E55" s="424">
        <f>'Lønoversigt til hjemmesiden'!D52</f>
        <v>5000</v>
      </c>
      <c r="F55" s="437"/>
      <c r="G55" s="424">
        <f>'Lønoversigt til hjemmesiden'!F52</f>
        <v>5000</v>
      </c>
      <c r="H55" s="368"/>
    </row>
    <row r="56" spans="1:8" ht="14.1" customHeight="1" x14ac:dyDescent="0.2">
      <c r="A56" s="158"/>
      <c r="B56" s="445" t="str">
        <f>'Nye lønninger'!B54</f>
        <v>Efter 6 års ansættelse</v>
      </c>
      <c r="C56" s="424">
        <f>'Lønoversigt til hjemmesiden'!B53</f>
        <v>10000</v>
      </c>
      <c r="D56" s="437"/>
      <c r="E56" s="424">
        <f>'Lønoversigt til hjemmesiden'!D53</f>
        <v>10000</v>
      </c>
      <c r="F56" s="437"/>
      <c r="G56" s="424">
        <f>'Lønoversigt til hjemmesiden'!F53</f>
        <v>10000</v>
      </c>
      <c r="H56" s="368"/>
    </row>
    <row r="57" spans="1:8" ht="14.1" customHeight="1" x14ac:dyDescent="0.2">
      <c r="A57" s="158"/>
      <c r="B57" s="445" t="str">
        <f>'Nye lønninger'!B55</f>
        <v>Efter 8 års ansættelse</v>
      </c>
      <c r="C57" s="424">
        <f>'Lønoversigt til hjemmesiden'!B54</f>
        <v>15000</v>
      </c>
      <c r="D57" s="437"/>
      <c r="E57" s="424">
        <f>'Lønoversigt til hjemmesiden'!D54</f>
        <v>15000</v>
      </c>
      <c r="F57" s="437"/>
      <c r="G57" s="424">
        <f>'Lønoversigt til hjemmesiden'!F54</f>
        <v>15000</v>
      </c>
      <c r="H57" s="368"/>
    </row>
    <row r="58" spans="1:8" ht="14.1" customHeight="1" x14ac:dyDescent="0.2">
      <c r="A58" s="158"/>
      <c r="B58" s="157"/>
      <c r="C58" s="436"/>
      <c r="D58" s="437"/>
      <c r="E58" s="436"/>
      <c r="F58" s="437"/>
      <c r="G58" s="436"/>
      <c r="H58" s="158"/>
    </row>
    <row r="59" spans="1:8" ht="14.1" customHeight="1" x14ac:dyDescent="0.25">
      <c r="A59" s="158"/>
      <c r="B59" s="153" t="str">
        <f>'Nye lønninger'!B57</f>
        <v>Frihedskonto</v>
      </c>
      <c r="C59" s="435">
        <f>'Lønoversigt til hjemmesiden'!B56</f>
        <v>6.7500000000000004E-2</v>
      </c>
      <c r="D59" s="470"/>
      <c r="E59" s="435">
        <f>'Lønoversigt til hjemmesiden'!D56</f>
        <v>6.7500000000000004E-2</v>
      </c>
      <c r="F59" s="470"/>
      <c r="G59" s="435">
        <f>'Lønoversigt til hjemmesiden'!F56</f>
        <v>6.7500000000000004E-2</v>
      </c>
      <c r="H59" s="158"/>
    </row>
    <row r="60" spans="1:8" ht="12" customHeight="1" x14ac:dyDescent="0.2">
      <c r="A60" s="158"/>
      <c r="B60" s="448" t="str">
        <f>'Nye lønninger'!B58</f>
        <v>Beregnes af ferieberettiget løn</v>
      </c>
      <c r="C60" s="463"/>
      <c r="D60" s="437"/>
      <c r="E60" s="436"/>
      <c r="F60" s="437"/>
      <c r="G60" s="436"/>
      <c r="H60" s="158"/>
    </row>
    <row r="61" spans="1:8" ht="14.1" customHeight="1" x14ac:dyDescent="0.2">
      <c r="A61" s="158"/>
      <c r="B61" s="157"/>
      <c r="C61" s="463"/>
      <c r="D61" s="437"/>
      <c r="E61" s="436"/>
      <c r="F61" s="437"/>
      <c r="G61" s="436"/>
      <c r="H61" s="158"/>
    </row>
    <row r="62" spans="1:8" ht="14.1" customHeight="1" x14ac:dyDescent="0.25">
      <c r="A62" s="158"/>
      <c r="B62" s="153" t="str">
        <f>'Nye lønninger'!B60</f>
        <v>Særlig opsparing</v>
      </c>
      <c r="C62" s="435">
        <f>'Lønoversigt til hjemmesiden'!B59</f>
        <v>0.04</v>
      </c>
      <c r="D62" s="470"/>
      <c r="E62" s="435">
        <f>'Lønoversigt til hjemmesiden'!D59</f>
        <v>0.05</v>
      </c>
      <c r="F62" s="470"/>
      <c r="G62" s="435">
        <f>'Lønoversigt til hjemmesiden'!F59</f>
        <v>6.0000000000000005E-2</v>
      </c>
      <c r="H62" s="158"/>
    </row>
    <row r="63" spans="1:8" ht="12" customHeight="1" x14ac:dyDescent="0.2">
      <c r="A63" s="158"/>
      <c r="B63" s="448" t="str">
        <f>'Nye lønninger'!B61</f>
        <v>Beregnes af ferieberettiget løn</v>
      </c>
      <c r="C63" s="437"/>
      <c r="D63" s="437"/>
      <c r="E63" s="437"/>
      <c r="F63" s="437"/>
      <c r="G63" s="437"/>
      <c r="H63" s="158"/>
    </row>
    <row r="64" spans="1:8" ht="14.1" customHeight="1" x14ac:dyDescent="0.2">
      <c r="A64" s="158"/>
      <c r="B64" s="160"/>
      <c r="C64" s="437"/>
      <c r="D64" s="437"/>
      <c r="E64" s="437"/>
      <c r="F64" s="437"/>
      <c r="G64" s="437"/>
      <c r="H64" s="158"/>
    </row>
    <row r="65" spans="1:8" ht="14.1" customHeight="1" x14ac:dyDescent="0.25">
      <c r="A65" s="158"/>
      <c r="B65" s="153" t="str">
        <f>Resultat!A47</f>
        <v>Pension</v>
      </c>
      <c r="C65" s="466"/>
      <c r="D65" s="459"/>
      <c r="E65" s="466"/>
      <c r="F65" s="459"/>
      <c r="G65" s="466"/>
      <c r="H65" s="369"/>
    </row>
    <row r="66" spans="1:8" ht="14.1" customHeight="1" x14ac:dyDescent="0.2">
      <c r="A66" s="158"/>
      <c r="B66" s="445" t="str">
        <f>Resultat!A49</f>
        <v>Arbejdsgivers pensionsbidrag</v>
      </c>
      <c r="C66" s="435">
        <f>'Lønoversigt til hjemmesiden'!B63</f>
        <v>0.08</v>
      </c>
      <c r="D66" s="470"/>
      <c r="E66" s="435">
        <f>'Lønoversigt til hjemmesiden'!D63</f>
        <v>0.08</v>
      </c>
      <c r="F66" s="470"/>
      <c r="G66" s="435">
        <f>'Lønoversigt til hjemmesiden'!F63</f>
        <v>0.08</v>
      </c>
      <c r="H66" s="158"/>
    </row>
    <row r="67" spans="1:8" ht="14.1" customHeight="1" x14ac:dyDescent="0.2">
      <c r="A67" s="158"/>
      <c r="B67" s="445" t="str">
        <f>Resultat!A50</f>
        <v>Lønmodtagers pensionsbidrag</v>
      </c>
      <c r="C67" s="467">
        <f>Resultat!C50</f>
        <v>0.04</v>
      </c>
      <c r="D67" s="437"/>
      <c r="E67" s="467">
        <f>Resultat!D50</f>
        <v>0.04</v>
      </c>
      <c r="F67" s="437"/>
      <c r="G67" s="467">
        <f>Resultat!E50</f>
        <v>0.04</v>
      </c>
      <c r="H67" s="158"/>
    </row>
    <row r="68" spans="1:8" ht="15" customHeight="1" thickBot="1" x14ac:dyDescent="0.25">
      <c r="A68" s="158"/>
      <c r="B68" s="157" t="str">
        <f>Resultat!A51</f>
        <v>Pensionsbidrag i alt</v>
      </c>
      <c r="C68" s="468">
        <f>SUM(C66:C67)</f>
        <v>0.12</v>
      </c>
      <c r="D68" s="469"/>
      <c r="E68" s="468">
        <f>SUM(E66:E67)</f>
        <v>0.12</v>
      </c>
      <c r="F68" s="469"/>
      <c r="G68" s="468">
        <f>SUM(G66:G67)</f>
        <v>0.12</v>
      </c>
      <c r="H68" s="158"/>
    </row>
    <row r="69" spans="1:8" ht="14.1" customHeight="1" thickTop="1" x14ac:dyDescent="0.2">
      <c r="A69" s="158"/>
      <c r="B69" s="379"/>
      <c r="C69" s="158"/>
      <c r="D69" s="158"/>
      <c r="E69" s="158"/>
      <c r="F69" s="158"/>
      <c r="G69" s="158"/>
      <c r="H69" s="158"/>
    </row>
    <row r="70" spans="1:8" ht="14.1" customHeight="1" x14ac:dyDescent="0.2">
      <c r="A70" s="149"/>
      <c r="B70" s="150"/>
      <c r="C70" s="149"/>
      <c r="D70" s="149"/>
      <c r="E70" s="149"/>
      <c r="F70" s="149"/>
    </row>
    <row r="71" spans="1:8" ht="14.1" customHeight="1" x14ac:dyDescent="0.2">
      <c r="A71" s="149"/>
      <c r="B71" s="150"/>
      <c r="C71" s="149"/>
      <c r="D71" s="149"/>
      <c r="E71" s="149"/>
      <c r="F71" s="149"/>
    </row>
    <row r="72" spans="1:8" x14ac:dyDescent="0.2">
      <c r="A72" s="149"/>
      <c r="B72" s="150"/>
      <c r="C72" s="149"/>
      <c r="D72" s="149"/>
      <c r="E72" s="149"/>
      <c r="F72" s="149"/>
    </row>
    <row r="73" spans="1:8" x14ac:dyDescent="0.2">
      <c r="A73" s="149"/>
      <c r="B73" s="150"/>
      <c r="C73" s="149"/>
      <c r="D73" s="149"/>
      <c r="E73" s="149"/>
      <c r="F73" s="149"/>
    </row>
    <row r="74" spans="1:8" x14ac:dyDescent="0.2">
      <c r="A74" s="149"/>
      <c r="B74" s="150"/>
      <c r="C74" s="149"/>
      <c r="D74" s="149"/>
      <c r="E74" s="149"/>
      <c r="F74" s="149"/>
    </row>
    <row r="75" spans="1:8" x14ac:dyDescent="0.2">
      <c r="A75" s="149"/>
      <c r="B75" s="150"/>
      <c r="C75" s="149"/>
      <c r="D75" s="149"/>
      <c r="E75" s="149"/>
      <c r="F75" s="149"/>
    </row>
    <row r="76" spans="1:8" x14ac:dyDescent="0.2">
      <c r="A76" s="149"/>
      <c r="B76" s="150"/>
      <c r="C76" s="149"/>
      <c r="D76" s="149"/>
      <c r="E76" s="149"/>
      <c r="F76" s="149"/>
    </row>
  </sheetData>
  <sheetProtection algorithmName="SHA-512" hashValue="8CCPzKoncEKShYBlLW2BrlNMpSYSan/JXwBq4Vgl3laGyiuVw+76LGAxRfFpffkLqTgoJNCwPCz84yWZOvynQg==" saltValue="OIzvzHJA4Ry5BbTSXNtvyw==" spinCount="100000" sheet="1" objects="1" scenarios="1"/>
  <mergeCells count="5">
    <mergeCell ref="A5:H5"/>
    <mergeCell ref="A2:H2"/>
    <mergeCell ref="A3:H3"/>
    <mergeCell ref="A4:H4"/>
    <mergeCell ref="A1:H1"/>
  </mergeCells>
  <phoneticPr fontId="0" type="noConversion"/>
  <dataValidations disablePrompts="1" count="2">
    <dataValidation type="list" allowBlank="1" showInputMessage="1" showErrorMessage="1" errorTitle="Fejl" error="Der skal vælges fra liste" sqref="B7" xr:uid="{00000000-0002-0000-0800-000000000000}">
      <formula1>$L$8</formula1>
    </dataValidation>
    <dataValidation type="list" allowBlank="1" showInputMessage="1" showErrorMessage="1" sqref="B8" xr:uid="{00000000-0002-0000-0800-000001000000}">
      <formula1>$L$11:$L$12</formula1>
    </dataValidation>
  </dataValidations>
  <printOptions horizontalCentered="1"/>
  <pageMargins left="0.78740157480314965" right="0.78740157480314965" top="0.98425196850393704" bottom="0.59055118110236227" header="0.59055118110236227" footer="0.39370078740157483"/>
  <pageSetup paperSize="9" orientation="portrait" draft="1" r:id="rId1"/>
  <headerFooter alignWithMargins="0">
    <oddFooter>&amp;L&amp;9&amp;F&amp;R&amp;9&amp;D, kl. &amp;T</oddFooter>
  </headerFooter>
  <ignoredErrors>
    <ignoredError sqref="C19:J1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6</vt:i4>
      </vt:variant>
    </vt:vector>
  </HeadingPairs>
  <TitlesOfParts>
    <vt:vector size="15" baseType="lpstr">
      <vt:lpstr>Stigninger</vt:lpstr>
      <vt:lpstr>Generelle lønstigninger</vt:lpstr>
      <vt:lpstr>Omfang og stigningsprocent</vt:lpstr>
      <vt:lpstr>Lønsatser - Vaskeriarbejdere</vt:lpstr>
      <vt:lpstr>Resultat</vt:lpstr>
      <vt:lpstr>Lønoversigt til hjemmesiden</vt:lpstr>
      <vt:lpstr>Nye lønninger</vt:lpstr>
      <vt:lpstr>Aftalte lønstigninger</vt:lpstr>
      <vt:lpstr>Lønoversigt</vt:lpstr>
      <vt:lpstr>'Aftalte lønstigninger'!Udskriftstitler</vt:lpstr>
      <vt:lpstr>Lønoversigt!Udskriftstitler</vt:lpstr>
      <vt:lpstr>'Lønoversigt til hjemmesiden'!Udskriftstitler</vt:lpstr>
      <vt:lpstr>'Nye lønninger'!Udskriftstitler</vt:lpstr>
      <vt:lpstr>Resultat!Udskriftstitler</vt:lpstr>
      <vt:lpstr>Stigninger!Udskriftstitler</vt:lpstr>
    </vt:vector>
  </TitlesOfParts>
  <Company>SiD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BJ0048</dc:creator>
  <cp:lastModifiedBy>Bjarne Jensen, Transportgruppen</cp:lastModifiedBy>
  <cp:lastPrinted>2020-04-04T12:42:12Z</cp:lastPrinted>
  <dcterms:created xsi:type="dcterms:W3CDTF">2004-02-18T10:23:50Z</dcterms:created>
  <dcterms:modified xsi:type="dcterms:W3CDTF">2020-04-05T08:06:12Z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